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25.xml" ContentType="application/vnd.openxmlformats-officedocument.spreadsheetml.worksheet+xml"/>
  <Override PartName="/xl/worksheets/sheet12.xml" ContentType="application/vnd.openxmlformats-officedocument.spreadsheetml.worksheet+xml"/>
  <Override PartName="/xl/worksheets/sheet8.xml" ContentType="application/vnd.openxmlformats-officedocument.spreadsheetml.worksheet+xml"/>
  <Override PartName="/xl/worksheets/sheet30.xml" ContentType="application/vnd.openxmlformats-officedocument.spreadsheetml.worksheet+xml"/>
  <Override PartName="/xl/worksheets/sheet20.xml" ContentType="application/vnd.openxmlformats-officedocument.spreadsheetml.worksheet+xml"/>
  <Override PartName="/xl/worksheets/sheet24.xml" ContentType="application/vnd.openxmlformats-officedocument.spreadsheetml.worksheet+xml"/>
  <Override PartName="/xl/worksheets/sheet22.xml" ContentType="application/vnd.openxmlformats-officedocument.spreadsheetml.worksheet+xml"/>
  <Override PartName="/xl/worksheets/sheet14.xml" ContentType="application/vnd.openxmlformats-officedocument.spreadsheetml.worksheet+xml"/>
  <Override PartName="/xl/worksheets/sheet17.xml" ContentType="application/vnd.openxmlformats-officedocument.spreadsheetml.worksheet+xml"/>
  <Override PartName="/xl/worksheets/sheet3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6.xml" ContentType="application/vnd.openxmlformats-officedocument.spreadsheetml.worksheet+xml"/>
  <Override PartName="/xl/worksheets/sheet6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27.xml" ContentType="application/vnd.openxmlformats-officedocument.spreadsheetml.worksheet+xml"/>
  <Override PartName="/xl/worksheets/sheet1.xml" ContentType="application/vnd.openxmlformats-officedocument.spreadsheetml.worksheet+xml"/>
  <Override PartName="/xl/worksheets/sheet18.xml" ContentType="application/vnd.openxmlformats-officedocument.spreadsheetml.worksheet+xml"/>
  <Override PartName="/xl/worksheets/sheet15.xml" ContentType="application/vnd.openxmlformats-officedocument.spreadsheetml.worksheet+xml"/>
  <Override PartName="/xl/worksheets/sheet19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21.xml" ContentType="application/vnd.openxmlformats-officedocument.spreadsheetml.worksheet+xml"/>
  <Override PartName="/xl/worksheets/sheet9.xml" ContentType="application/vnd.openxmlformats-officedocument.spreadsheetml.worksheet+xml"/>
  <Override PartName="/xl/worksheets/sheet23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Summary" sheetId="2" state="visible" r:id="rId4"/>
    <sheet name="Terms" sheetId="3" state="visible" r:id="rId5"/>
    <sheet name="Funding" sheetId="4" state="visible" r:id="rId6"/>
    <sheet name="WOO Sites" sheetId="5" state="visible" r:id="rId7"/>
    <sheet name="Market Validation" sheetId="6" state="visible" r:id="rId8"/>
    <sheet name="WOO Monthly" sheetId="7" state="visible" r:id="rId9"/>
    <sheet name="Apps Monthly" sheetId="8" state="visible" r:id="rId10"/>
    <sheet name="Exit Details" sheetId="9" state="visible" r:id="rId11"/>
    <sheet name="Investor Cashflows" sheetId="10" state="visible" r:id="rId12"/>
    <sheet name="Review" sheetId="11" state="visible" r:id="rId13"/>
    <sheet name="Data Room" sheetId="12" state="visible" r:id="rId14"/>
    <sheet name="App Inputs" sheetId="13" state="visible" r:id="rId15"/>
    <sheet name="Apps" sheetId="14" state="visible" r:id="rId16"/>
    <sheet name="WOO" sheetId="15" state="visible" r:id="rId17"/>
    <sheet name="Historical" sheetId="16" state="visible" r:id="rId18"/>
    <sheet name="Site Economics" sheetId="17" state="visible" r:id="rId19"/>
    <sheet name="Partners" sheetId="18" state="visible" r:id="rId20"/>
    <sheet name="Sources" sheetId="19" state="visible" r:id="rId21"/>
    <sheet name="W Budget &amp; Owners" sheetId="20" state="visible" r:id="rId22"/>
    <sheet name="W Assumptions" sheetId="21" state="visible" r:id="rId23"/>
    <sheet name="W Financial Model" sheetId="22" state="visible" r:id="rId24"/>
    <sheet name="W 3-Year Summary" sheetId="23" state="visible" r:id="rId25"/>
    <sheet name="W Sites" sheetId="24" state="visible" r:id="rId26"/>
    <sheet name="W Site Costs" sheetId="25" state="visible" r:id="rId27"/>
    <sheet name="W Site Monthly" sheetId="26" state="visible" r:id="rId28"/>
    <sheet name="W Programs" sheetId="27" state="visible" r:id="rId29"/>
    <sheet name="W Program Monthly" sheetId="28" state="visible" r:id="rId30"/>
    <sheet name="W Fees &amp; KPI" sheetId="29" state="visible" r:id="rId31"/>
    <sheet name="W Cash Flow" sheetId="30" state="visible" r:id="rId32"/>
    <sheet name="W TLI JV" sheetId="31" state="visible" r:id="rId3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<sst xmlns="http://schemas.openxmlformats.org/spreadsheetml/2006/main" count="1665" uniqueCount="1205">
  <si>
    <t xml:space="preserve">دليل النموذج المحدث — 6 أكتوبر 2026</t>
  </si>
  <si>
    <t xml:space="preserve">الورقة</t>
  </si>
  <si>
    <t xml:space="preserve">الاستخدام</t>
  </si>
  <si>
    <t xml:space="preserve">المدخل أو القرار</t>
  </si>
  <si>
    <t xml:space="preserve">Summary</t>
  </si>
  <si>
    <t xml:space="preserve">مقارنة المسارين والحصص والتوزيعات والخروج</t>
  </si>
  <si>
    <t xml:space="preserve">مبالغ الطلب محفوظة؛ IRR مرجعي وXIRR مؤرخ منفصلان</t>
  </si>
  <si>
    <t xml:space="preserve">Terms</t>
  </si>
  <si>
    <t xml:space="preserve">شروط التمويل والحقوق والحالات</t>
  </si>
  <si>
    <t xml:space="preserve">حالة التطبيقات D4 وحالة WOO D44 وتأخير الفتح D45</t>
  </si>
  <si>
    <t xml:space="preserve">Funding</t>
  </si>
  <si>
    <t xml:space="preserve">مواعيد ومبالغ 50% / 30% / 20%</t>
  </si>
  <si>
    <t xml:space="preserve">الخلايا الزرقاء قابلة للتعديل؛ الرصيد الافتتاحي بعد مطابقة البنك</t>
  </si>
  <si>
    <t xml:space="preserve">WOO Sites</t>
  </si>
  <si>
    <t xml:space="preserve">توقيت وعقد وطلب كل موقع</t>
  </si>
  <si>
    <t xml:space="preserve">تأخير / إيجار / مشاركة / إدراج الموقع؛ كافد والعثيم مستبعدان أساسًا</t>
  </si>
  <si>
    <t xml:space="preserve">WOO Monthly</t>
  </si>
  <si>
    <t xml:space="preserve">سيولة مواقع فعلية من نموذج المصدر</t>
  </si>
  <si>
    <t xml:space="preserve">رصيد سالب ظاهر، والتوزيع لا يتجاوز النقد بعد الاحتياطي</t>
  </si>
  <si>
    <t xml:space="preserve">Apps Monthly</t>
  </si>
  <si>
    <t xml:space="preserve">اختبار سيولة التطبيقات</t>
  </si>
  <si>
    <t xml:space="preserve">توزيع FCF السنوي بالتساوي إرشادي؛ يستبدل بخطة شهرية معتمدة</t>
  </si>
  <si>
    <t xml:space="preserve">Exit Details</t>
  </si>
  <si>
    <t xml:space="preserve">خروج كل شركة وفق حصتها وصافي دينها</t>
  </si>
  <si>
    <t xml:space="preserve">الملكية 30% لكل كيان مستقل؛ لا حصة بالقابضة</t>
  </si>
  <si>
    <t xml:space="preserve">Investor Cashflows</t>
  </si>
  <si>
    <t xml:space="preserve">XIRR بالتواريخ وMOIC مستقل</t>
  </si>
  <si>
    <t xml:space="preserve">العوائد افتراضية وليست ضمانًا؛ التواريخ قابلة للتعديل</t>
  </si>
  <si>
    <t xml:space="preserve">Review</t>
  </si>
  <si>
    <t xml:space="preserve">مطابقة التمويل والنقد والعوائد</t>
  </si>
  <si>
    <t xml:space="preserve">العجز الشهري يحدد تعديل التوقيت أو التكلفة</t>
  </si>
  <si>
    <t xml:space="preserve">Data Room</t>
  </si>
  <si>
    <t xml:space="preserve">مستندات مستلمة ومطلوبة</t>
  </si>
  <si>
    <t xml:space="preserve">استلام ملف لا يعني قبول الفحص؛ الفيديوهات و3D لم تكتمل</t>
  </si>
  <si>
    <t xml:space="preserve">أوراق W</t>
  </si>
  <si>
    <t xml:space="preserve">تفاصيل المصدر الأصلي للمواقع والبرامج والتكاليف</t>
  </si>
  <si>
    <t xml:space="preserve">كل الحسابات داخل الملف بلا ارتباط خارجي؛ أساس المصدر Sep26–Aug29</t>
  </si>
  <si>
    <r>
      <rPr>
        <sz val="11"/>
        <rFont val="Noto Sans"/>
        <family val="2"/>
      </rPr>
      <t xml:space="preserve">الخط المطلوب </t>
    </r>
    <r>
      <rPr>
        <sz val="11"/>
        <rFont val="Calibri"/>
        <family val="0"/>
        <charset val="1"/>
      </rPr>
      <t xml:space="preserve">DIN Next LT Arabic</t>
    </r>
    <r>
      <rPr>
        <sz val="11"/>
        <rFont val="Noto Sans"/>
        <family val="2"/>
      </rPr>
      <t xml:space="preserve">؛ العرض في </t>
    </r>
    <r>
      <rPr>
        <sz val="11"/>
        <rFont val="Calibri"/>
        <family val="0"/>
        <charset val="1"/>
      </rPr>
      <t xml:space="preserve">Excel </t>
    </r>
    <r>
      <rPr>
        <sz val="11"/>
        <rFont val="Noto Sans"/>
        <family val="2"/>
      </rPr>
      <t xml:space="preserve">يتبع الخط المثبت على جهاز المستخدم</t>
    </r>
    <r>
      <rPr>
        <sz val="11"/>
        <rFont val="Calibri"/>
        <family val="0"/>
        <charset val="1"/>
      </rPr>
      <t xml:space="preserve">.</t>
    </r>
  </si>
  <si>
    <t xml:space="preserve">خيارا الاستثمار</t>
  </si>
  <si>
    <t xml:space="preserve">حالة التطبيقات</t>
  </si>
  <si>
    <t xml:space="preserve">المسار</t>
  </si>
  <si>
    <t xml:space="preserve">التمويل</t>
  </si>
  <si>
    <t xml:space="preserve">حصة مقترحة</t>
  </si>
  <si>
    <t xml:space="preserve">توزيع 2027 / س1</t>
  </si>
  <si>
    <t xml:space="preserve">توزيع 2028 / س2</t>
  </si>
  <si>
    <t xml:space="preserve">توزيع 2029 / س3</t>
  </si>
  <si>
    <t xml:space="preserve">Moments</t>
  </si>
  <si>
    <t xml:space="preserve">MONTESTEAM</t>
  </si>
  <si>
    <t xml:space="preserve">EduMind</t>
  </si>
  <si>
    <t xml:space="preserve">WOO</t>
  </si>
  <si>
    <t xml:space="preserve">إجمالي خيار التطبيقات</t>
  </si>
  <si>
    <t xml:space="preserve">حصة مستقلة لكل شركة</t>
  </si>
  <si>
    <t xml:space="preserve">الخروج بعد السنة 3</t>
  </si>
  <si>
    <t xml:space="preserve">تمويل</t>
  </si>
  <si>
    <t xml:space="preserve">توزيع متراكم</t>
  </si>
  <si>
    <t xml:space="preserve">قيمة حصة الخروج</t>
  </si>
  <si>
    <t xml:space="preserve">MOIC</t>
  </si>
  <si>
    <t xml:space="preserve">IRR مرجعي / تمويل مقدم</t>
  </si>
  <si>
    <t xml:space="preserve">XIRR بتاريخ الدفعات</t>
  </si>
  <si>
    <t xml:space="preserve">شركات التطبيقات</t>
  </si>
  <si>
    <t xml:space="preserve">تدفقات المستثمر للخروج</t>
  </si>
  <si>
    <t xml:space="preserve">س0</t>
  </si>
  <si>
    <t xml:space="preserve">س1</t>
  </si>
  <si>
    <t xml:space="preserve">س2</t>
  </si>
  <si>
    <t xml:space="preserve">س3</t>
  </si>
  <si>
    <t xml:space="preserve">التطبيقات</t>
  </si>
  <si>
    <t xml:space="preserve">التطبيقات 2027–2029. WOO سبتمبر 2026–أغسطس 2029، وفق المصدر.</t>
  </si>
  <si>
    <t xml:space="preserve">الخروج افتراضي. IRR السنوي مرجع تمويل مقدم؛ العائد بتاريخ الدفعات يظهر منفصلًا في Investor Cashflows.</t>
  </si>
  <si>
    <t xml:space="preserve">الملكية في الشركات المستهدفة. لا تشمل حصة في القابضة.</t>
  </si>
  <si>
    <t xml:space="preserve">7.67 مليون مقابل 30% في كل تطبيق. WOO: 7.00 مليون مقابل 30%.</t>
  </si>
  <si>
    <t xml:space="preserve">الفترة</t>
  </si>
  <si>
    <t xml:space="preserve">سنة 1</t>
  </si>
  <si>
    <t xml:space="preserve">سنة 2</t>
  </si>
  <si>
    <t xml:space="preserve">سنة 3</t>
  </si>
  <si>
    <t xml:space="preserve">شروط الاستثمار</t>
  </si>
  <si>
    <t xml:space="preserve">الحالة: 1 متحفظ / 2 أساسي / 3 نمو</t>
  </si>
  <si>
    <t xml:space="preserve">عامل حجم مبيعات التطبيقات النشط</t>
  </si>
  <si>
    <t xml:space="preserve">متحفظ</t>
  </si>
  <si>
    <t xml:space="preserve">أساسي</t>
  </si>
  <si>
    <t xml:space="preserve">نمو</t>
  </si>
  <si>
    <t xml:space="preserve">الشركة</t>
  </si>
  <si>
    <t xml:space="preserve">الاستثمار المطلوب</t>
  </si>
  <si>
    <t xml:space="preserve">حصة المستثمر</t>
  </si>
  <si>
    <t xml:space="preserve">قبل الاستثمار</t>
  </si>
  <si>
    <t xml:space="preserve">بعد الاستثمار</t>
  </si>
  <si>
    <t xml:space="preserve">نوع القيمة</t>
  </si>
  <si>
    <t xml:space="preserve">تفاوضي</t>
  </si>
  <si>
    <t xml:space="preserve">حسم احترازي للالتزامات غير المسعرة</t>
  </si>
  <si>
    <t xml:space="preserve">توزيع أرباح التطبيقات</t>
  </si>
  <si>
    <t xml:space="preserve">توزيع أرباح WOO</t>
  </si>
  <si>
    <t xml:space="preserve">حسم احترازي لأرباح وتدفق WOO</t>
  </si>
  <si>
    <t xml:space="preserve">حصة Little Inventor الخارجية</t>
  </si>
  <si>
    <t xml:space="preserve">حصة نيوهورايزون في نتيجة المشروعين</t>
  </si>
  <si>
    <t xml:space="preserve">استثمار نيوهورايزون السابق</t>
  </si>
  <si>
    <t xml:space="preserve">رصيد أصل نيوهورايزون المفترض للاسترداد</t>
  </si>
  <si>
    <t xml:space="preserve">مخصص استرداد نيوهورايزون السنة 1</t>
  </si>
  <si>
    <t xml:space="preserve">مخصص استرداد نيوهورايزون السنة 2</t>
  </si>
  <si>
    <t xml:space="preserve">مخصص استرداد نيوهورايزون السنة 3</t>
  </si>
  <si>
    <t xml:space="preserve">مضاعف EBITDA لخروج التطبيقات</t>
  </si>
  <si>
    <t xml:space="preserve">مضاعف EBITDA لخروج WOO</t>
  </si>
  <si>
    <t xml:space="preserve">صافي دين التطبيقات عند الخروج مفترض</t>
  </si>
  <si>
    <t xml:space="preserve">صافي دين WOO عند الخروج مفترض</t>
  </si>
  <si>
    <t xml:space="preserve">نسبة رأس المال العامل للتطبيقات</t>
  </si>
  <si>
    <t xml:space="preserve">التمويل والحصص أسعار تفاوض. موافقات الشركاء والحقوق القائمة شرط للإقفال.</t>
  </si>
  <si>
    <t xml:space="preserve">20% لنيوهورايزون من العرض السابق ص28. جدول الاسترداد هنا افتراض سيولة احترازي.</t>
  </si>
  <si>
    <t xml:space="preserve">مبلغ 1.5 مليون استثمار سابق، لا يخصم من الاحتياج الجديد ما لم يثبت رصيد متاح.</t>
  </si>
  <si>
    <t xml:space="preserve">حسم 10% احتياطي تقديري وليس حساباً نظامياً للزكاة أو الضريبة.</t>
  </si>
  <si>
    <t xml:space="preserve">حسم WOO بنسبة 20% يطبق على الأرباح والتدفق التشغيلي. الإيراد المصدر يبقى كما هو.</t>
  </si>
  <si>
    <t xml:space="preserve">التطبيقات وWOO لهما اختيار حالة مستقل؛ تفاصيل مواقع WOO والدفعات مرتبطة بالحسابات.</t>
  </si>
  <si>
    <t xml:space="preserve">حالة WOO: 1 متحفظ / 2 أساسي / 3 نمو</t>
  </si>
  <si>
    <t xml:space="preserve">عامل تأخير فتح جميع مواقع WOO بالأيام</t>
  </si>
  <si>
    <t xml:space="preserve">صافي الدين عند خروج Moments</t>
  </si>
  <si>
    <t xml:space="preserve">صافي الدين عند خروج MONTESTEAM</t>
  </si>
  <si>
    <t xml:space="preserve">صافي الدين عند خروج EduMind</t>
  </si>
  <si>
    <t xml:space="preserve">نقد الخروج غير مضاف آليًا؛ يسوّى صافي الدين بعد تحديد النقد القابل للتوزيع فعليًا.</t>
  </si>
  <si>
    <t xml:space="preserve">إجمالي نيوهورايزون 1.5 مليون سابق؛ ليس تحصيلًا جديدًا ولا تمويلًا متاحًا في حساب البنك تلقائيًا.</t>
  </si>
  <si>
    <t xml:space="preserve">توزيع نيوهورايزون حسب أحدث تحديث: 1.26 مليون للساحة و0.24 مليون للتكية؛ يطابق بالعقد والتحويل.</t>
  </si>
  <si>
    <t xml:space="preserve">دفعات التمويل والمواعيد المقترحة</t>
  </si>
  <si>
    <t xml:space="preserve">تاريخ الدفعة</t>
  </si>
  <si>
    <t xml:space="preserve">نسبة الدفعة</t>
  </si>
  <si>
    <t xml:space="preserve">سبب الدفعة</t>
  </si>
  <si>
    <t xml:space="preserve">إقفال وجاهزية</t>
  </si>
  <si>
    <t xml:space="preserve">إطلاق وتجهيز مثبت</t>
  </si>
  <si>
    <t xml:space="preserve">تحقق أداء وتحصيل</t>
  </si>
  <si>
    <t xml:space="preserve">إجمالي النسب</t>
  </si>
  <si>
    <t xml:space="preserve">نهاية سنة التطبيقات 1</t>
  </si>
  <si>
    <t xml:space="preserve">نهاية سنة التطبيقات 2</t>
  </si>
  <si>
    <t xml:space="preserve">نهاية سنة التطبيقات 3 / الخروج</t>
  </si>
  <si>
    <t xml:space="preserve">نهاية سنة WOO 1</t>
  </si>
  <si>
    <t xml:space="preserve">نهاية سنة WOO 2</t>
  </si>
  <si>
    <t xml:space="preserve">نهاية سنة WOO 3 / الخروج</t>
  </si>
  <si>
    <t xml:space="preserve">نقد افتتاحي مدخل للمطابقة</t>
  </si>
  <si>
    <t xml:space="preserve">التواريخ مدخل تخطيطي قابل للتعديل، وليست مواعيد دفع متفقًا عليها.</t>
  </si>
  <si>
    <t xml:space="preserve">يسجل أي رصيد افتتاحي بعد مطابقة البنك؛ لا يعاد إدخال 1.5 مليون نيوهورايزون كتمويل جديد.</t>
  </si>
  <si>
    <t xml:space="preserve">صرف الدفعة مرتبط بالشرط والوثيقة والسيولة، لا بمرور ثلاثة أشهر تلقائيًا.</t>
  </si>
  <si>
    <t xml:space="preserve">مواقع WOO: موعد وطلب ونوع عقد</t>
  </si>
  <si>
    <t xml:space="preserve">الرمز</t>
  </si>
  <si>
    <t xml:space="preserve">الموقع</t>
  </si>
  <si>
    <t xml:space="preserve">المدينة</t>
  </si>
  <si>
    <t xml:space="preserve">فتح المصدر</t>
  </si>
  <si>
    <t xml:space="preserve">تأخير خاص / أيام</t>
  </si>
  <si>
    <t xml:space="preserve">ضمن التوقع</t>
  </si>
  <si>
    <t xml:space="preserve">إيجار شهري</t>
  </si>
  <si>
    <t xml:space="preserve">حصة المضيف</t>
  </si>
  <si>
    <t xml:space="preserve">دخل سنة تشغيل كاملة</t>
  </si>
  <si>
    <t xml:space="preserve">متوسط زيارات / يوم</t>
  </si>
  <si>
    <t xml:space="preserve">تذكرة مع VAT</t>
  </si>
  <si>
    <t xml:space="preserve">التوثيق</t>
  </si>
  <si>
    <t xml:space="preserve">S01</t>
  </si>
  <si>
    <t xml:space="preserve">ساحة سيد الشهداء</t>
  </si>
  <si>
    <t xml:space="preserve">Madinah</t>
  </si>
  <si>
    <t xml:space="preserve">افتراض تشغيل؛ يثبت بالعقد</t>
  </si>
  <si>
    <t xml:space="preserve">S02</t>
  </si>
  <si>
    <t xml:space="preserve">تكية بحر</t>
  </si>
  <si>
    <t xml:space="preserve">Dammam</t>
  </si>
  <si>
    <t xml:space="preserve">S03</t>
  </si>
  <si>
    <t xml:space="preserve">الرياض بارك</t>
  </si>
  <si>
    <t xml:space="preserve">Riyadh</t>
  </si>
  <si>
    <t xml:space="preserve">S04</t>
  </si>
  <si>
    <t xml:space="preserve">إسبيلانيد</t>
  </si>
  <si>
    <t xml:space="preserve">S05</t>
  </si>
  <si>
    <t xml:space="preserve">روشن فرونت</t>
  </si>
  <si>
    <t xml:space="preserve">S06</t>
  </si>
  <si>
    <t xml:space="preserve">البيوت الثقافية الرياض</t>
  </si>
  <si>
    <t xml:space="preserve">S07</t>
  </si>
  <si>
    <t xml:space="preserve">البيوت الثقافية الدمام</t>
  </si>
  <si>
    <t xml:space="preserve">S08</t>
  </si>
  <si>
    <t xml:space="preserve">مسار مكة</t>
  </si>
  <si>
    <t xml:space="preserve">Makkah</t>
  </si>
  <si>
    <t xml:space="preserve">S09</t>
  </si>
  <si>
    <t xml:space="preserve">كافد</t>
  </si>
  <si>
    <t xml:space="preserve">قيد الدراسة؛ مستبعد</t>
  </si>
  <si>
    <t xml:space="preserve">S10</t>
  </si>
  <si>
    <t xml:space="preserve">العثيم</t>
  </si>
  <si>
    <t xml:space="preserve">To confirm</t>
  </si>
  <si>
    <t xml:space="preserve">الإيرادات سنوية عند التشغيل الكامل، ولا تمثل سنة الإطلاق الجزئية. لا تشمل ضريبة القيمة المضافة.</t>
  </si>
  <si>
    <t xml:space="preserve">تكية بحر: حصة مضيف 15% ومسار مكة 10% في المصدر؛ باقي الإيجارات افتراضات منفصلة وليست عقودًا معتمدة.</t>
  </si>
  <si>
    <t xml:space="preserve">تعديل الفتح أو التأخير أو الإيجار أو المشاركة أو إدراج موقع يعيد حساب التشغيل والسيولة والعائد.</t>
  </si>
  <si>
    <t xml:space="preserve">الطلب المستهدف ومطابقة المحيط المحلي</t>
  </si>
  <si>
    <t xml:space="preserve">دخل سنة كاملة</t>
  </si>
  <si>
    <t xml:space="preserve">زيارات مدفوعة / سنة</t>
  </si>
  <si>
    <t xml:space="preserve">زيارة / يوم</t>
  </si>
  <si>
    <t xml:space="preserve">تذاكر سنوية / أسرة نشطة</t>
  </si>
  <si>
    <t xml:space="preserve">تحويل افتراضي</t>
  </si>
  <si>
    <t xml:space="preserve">أسر مطلوبة / توضيحي</t>
  </si>
  <si>
    <t xml:space="preserve">عدد أسر موثق</t>
  </si>
  <si>
    <t xml:space="preserve">دليل المحيط</t>
  </si>
  <si>
    <t xml:space="preserve">لم يقدم؛ يثبت بعدّ حركة الوجهة أو الأسر والمدارس ضمن نطاق الوصول</t>
  </si>
  <si>
    <t xml:space="preserve">عدد الأسر المطلوب حساب توضيحي يفترض 4 تذاكر مدفوعة للأسرة سنويًا وتحويل 5%، وليس تعدادًا أو طلبًا مثبتًا.</t>
  </si>
  <si>
    <t xml:space="preserve">مواقع الزوار مثل الساحة قد تعتمد على حركة الوجهة؛ لا تستخدم معادلة الأسر السكنية وحدها. الخلايا الزرقاء للبيانات الموثقة والمدخلات التوضيحية.</t>
  </si>
  <si>
    <t xml:space="preserve">لا يضاف إيراد هذه الورقة إلى توقعات WOO؛ تستخدم لمصالحة عدد الزيارات والطلب والسعة ومنع ازدواج الإيراد.</t>
  </si>
  <si>
    <t xml:space="preserve">السيولة الشهرية المرتبطة بالمواقع والدفعات</t>
  </si>
  <si>
    <t xml:space="preserve">الشهر</t>
  </si>
  <si>
    <t xml:space="preserve">السنة</t>
  </si>
  <si>
    <t xml:space="preserve">نقد المصدر بعد JV</t>
  </si>
  <si>
    <t xml:space="preserve">حسم تشغيل WOO</t>
  </si>
  <si>
    <t xml:space="preserve">حصة نيوهورايزون</t>
  </si>
  <si>
    <t xml:space="preserve">أصل نيوهورايزون</t>
  </si>
  <si>
    <t xml:space="preserve">التزامات احترازية</t>
  </si>
  <si>
    <t xml:space="preserve">جسر VAT</t>
  </si>
  <si>
    <t xml:space="preserve">نقد قبل تمويل</t>
  </si>
  <si>
    <t xml:space="preserve">تمويل جديد</t>
  </si>
  <si>
    <t xml:space="preserve">نقد بداية</t>
  </si>
  <si>
    <t xml:space="preserve">قبل التوزيع</t>
  </si>
  <si>
    <t xml:space="preserve">توزيع الشركة</t>
  </si>
  <si>
    <t xml:space="preserve">نقد نهاية</t>
  </si>
  <si>
    <t xml:space="preserve">عجز بلا تمويل إضافي</t>
  </si>
  <si>
    <r>
      <rPr>
        <sz val="11"/>
        <rFont val="Noto Sans"/>
        <family val="2"/>
      </rPr>
      <t xml:space="preserve">نقد </t>
    </r>
    <r>
      <rPr>
        <sz val="11"/>
        <rFont val="Calibri"/>
        <family val="0"/>
        <charset val="1"/>
      </rPr>
      <t xml:space="preserve">JV </t>
    </r>
    <r>
      <rPr>
        <sz val="11"/>
        <rFont val="Noto Sans"/>
        <family val="2"/>
      </rPr>
      <t xml:space="preserve">مقيد للتوزيع</t>
    </r>
  </si>
  <si>
    <t xml:space="preserve">رصيد بعد أول دفعة</t>
  </si>
  <si>
    <r>
      <rPr>
        <sz val="11"/>
        <rFont val="Noto Sans"/>
        <family val="2"/>
      </rPr>
      <t xml:space="preserve">العجز يبقى سالبًا ظاهرًا ولا يحوّل إلى صفر</t>
    </r>
    <r>
      <rPr>
        <sz val="11"/>
        <rFont val="Calibri"/>
        <family val="0"/>
        <charset val="1"/>
      </rPr>
      <t xml:space="preserve">. </t>
    </r>
    <r>
      <rPr>
        <sz val="11"/>
        <rFont val="Noto Sans"/>
        <family val="2"/>
      </rPr>
      <t xml:space="preserve">لا يفترض قرض أو تمويل إضافي تلقائيًا</t>
    </r>
    <r>
      <rPr>
        <sz val="11"/>
        <rFont val="Calibri"/>
        <family val="0"/>
        <charset val="1"/>
      </rPr>
      <t xml:space="preserve">.</t>
    </r>
  </si>
  <si>
    <r>
      <rPr>
        <sz val="11"/>
        <rFont val="Noto Sans"/>
        <family val="2"/>
      </rPr>
      <t xml:space="preserve">جسر </t>
    </r>
    <r>
      <rPr>
        <sz val="11"/>
        <rFont val="Calibri"/>
        <family val="0"/>
        <charset val="1"/>
      </rPr>
      <t xml:space="preserve">VAT </t>
    </r>
    <r>
      <rPr>
        <sz val="11"/>
        <rFont val="Noto Sans"/>
        <family val="2"/>
      </rPr>
      <t xml:space="preserve">يدفع ضمن الشهر ولا يفترض استرداده داخل الأفق</t>
    </r>
    <r>
      <rPr>
        <sz val="11"/>
        <rFont val="Calibri"/>
        <family val="0"/>
        <charset val="1"/>
      </rPr>
      <t xml:space="preserve">. </t>
    </r>
    <r>
      <rPr>
        <sz val="11"/>
        <rFont val="Noto Sans"/>
        <family val="2"/>
      </rPr>
      <t xml:space="preserve">حسم التشغيل السنوي موزع </t>
    </r>
    <r>
      <rPr>
        <sz val="11"/>
        <rFont val="Calibri"/>
        <family val="0"/>
        <charset val="1"/>
      </rPr>
      <t xml:space="preserve">12 </t>
    </r>
    <r>
      <rPr>
        <sz val="11"/>
        <rFont val="Noto Sans"/>
        <family val="2"/>
      </rPr>
      <t xml:space="preserve">شهرًا؛ حصة وأصل نيوهورايزون في نهاية السنة كاختبار</t>
    </r>
    <r>
      <rPr>
        <sz val="11"/>
        <rFont val="Calibri"/>
        <family val="0"/>
        <charset val="1"/>
      </rPr>
      <t xml:space="preserve">.</t>
    </r>
  </si>
  <si>
    <r>
      <rPr>
        <sz val="11"/>
        <rFont val="Noto Sans"/>
        <family val="2"/>
      </rPr>
      <t xml:space="preserve">التوزيع</t>
    </r>
    <r>
      <rPr>
        <sz val="11"/>
        <rFont val="Calibri"/>
        <family val="0"/>
        <charset val="1"/>
      </rPr>
      <t xml:space="preserve">: </t>
    </r>
    <r>
      <rPr>
        <sz val="11"/>
        <rFont val="Noto Sans"/>
        <family val="2"/>
      </rPr>
      <t xml:space="preserve">لا توزيع سنة أولى؛ بعدها </t>
    </r>
    <r>
      <rPr>
        <sz val="11"/>
        <rFont val="Calibri"/>
        <family val="0"/>
        <charset val="1"/>
      </rPr>
      <t xml:space="preserve">50% </t>
    </r>
    <r>
      <rPr>
        <sz val="11"/>
        <rFont val="Noto Sans"/>
        <family val="2"/>
      </rPr>
      <t xml:space="preserve">من الربح المرشح ومقيد بالنقد بعد احتياطي المصدر</t>
    </r>
    <r>
      <rPr>
        <sz val="11"/>
        <rFont val="Calibri"/>
        <family val="0"/>
        <charset val="1"/>
      </rPr>
      <t xml:space="preserve">. </t>
    </r>
    <r>
      <rPr>
        <sz val="11"/>
        <rFont val="Noto Sans"/>
        <family val="2"/>
      </rPr>
      <t xml:space="preserve">دفعات سبتمبر قبل الإقفال ليست مبيعات فعلية مثبتة</t>
    </r>
    <r>
      <rPr>
        <sz val="11"/>
        <rFont val="Calibri"/>
        <family val="0"/>
        <charset val="1"/>
      </rPr>
      <t xml:space="preserve">.</t>
    </r>
  </si>
  <si>
    <t xml:space="preserve">سيولة التطبيقات الشهرية الإرشادية</t>
  </si>
  <si>
    <t xml:space="preserve">FCF Moments</t>
  </si>
  <si>
    <t xml:space="preserve">FCF MONTESTEAM</t>
  </si>
  <si>
    <t xml:space="preserve">FCF EduMind</t>
  </si>
  <si>
    <t xml:space="preserve">تمويل Moments</t>
  </si>
  <si>
    <t xml:space="preserve">تمويل MONTESTEAM</t>
  </si>
  <si>
    <t xml:space="preserve">تمويل EduMind</t>
  </si>
  <si>
    <t xml:space="preserve">نقد Moments</t>
  </si>
  <si>
    <t xml:space="preserve">نقد MONTESTEAM</t>
  </si>
  <si>
    <t xml:space="preserve">نقد EduMind</t>
  </si>
  <si>
    <t xml:space="preserve">أكبر عجز</t>
  </si>
  <si>
    <r>
      <rPr>
        <sz val="11"/>
        <rFont val="Calibri"/>
        <family val="0"/>
        <charset val="1"/>
      </rPr>
      <t xml:space="preserve">FCF </t>
    </r>
    <r>
      <rPr>
        <sz val="11"/>
        <rFont val="Noto Sans"/>
        <family val="2"/>
      </rPr>
      <t xml:space="preserve">موزع بالتساوي شهريًا لعدم وجود خطة تسليم شهرية للتطبيقات؛ إجمالي السنوات مطابق، وهذا اختبار سيولة إرشادي فقط</t>
    </r>
    <r>
      <rPr>
        <sz val="11"/>
        <rFont val="Calibri"/>
        <family val="0"/>
        <charset val="1"/>
      </rPr>
      <t xml:space="preserve">.</t>
    </r>
  </si>
  <si>
    <r>
      <rPr>
        <sz val="11"/>
        <rFont val="Noto Sans"/>
        <family val="2"/>
      </rPr>
      <t xml:space="preserve">الدفعات بتواريخها؛ والتوزيعات في نهاية السنة</t>
    </r>
    <r>
      <rPr>
        <sz val="11"/>
        <rFont val="Calibri"/>
        <family val="0"/>
        <charset val="1"/>
      </rPr>
      <t xml:space="preserve">. </t>
    </r>
    <r>
      <rPr>
        <sz val="11"/>
        <rFont val="Noto Sans"/>
        <family val="2"/>
      </rPr>
      <t xml:space="preserve">تثبت العقود خطة تطوير وتحصيل و</t>
    </r>
    <r>
      <rPr>
        <sz val="11"/>
        <rFont val="Calibri"/>
        <family val="0"/>
        <charset val="1"/>
      </rPr>
      <t xml:space="preserve">CAPEX </t>
    </r>
    <r>
      <rPr>
        <sz val="11"/>
        <rFont val="Noto Sans"/>
        <family val="2"/>
      </rPr>
      <t xml:space="preserve">شهرية قبل الصرف</t>
    </r>
    <r>
      <rPr>
        <sz val="11"/>
        <rFont val="Calibri"/>
        <family val="0"/>
        <charset val="1"/>
      </rPr>
      <t xml:space="preserve">.</t>
    </r>
  </si>
  <si>
    <t xml:space="preserve">قيمة الخروج لكل شركة مستقلة</t>
  </si>
  <si>
    <t xml:space="preserve">نسبة المستثمر</t>
  </si>
  <si>
    <t xml:space="preserve">EBITDA السنة 3</t>
  </si>
  <si>
    <t xml:space="preserve">مضاعف الخروج</t>
  </si>
  <si>
    <t xml:space="preserve">صافي دين مفترض</t>
  </si>
  <si>
    <t xml:space="preserve">قيمة الحصة</t>
  </si>
  <si>
    <t xml:space="preserve">توزيع 3 سنوات</t>
  </si>
  <si>
    <t xml:space="preserve">نقد ختامي للمراجعة</t>
  </si>
  <si>
    <r>
      <rPr>
        <sz val="11"/>
        <rFont val="Noto Sans"/>
        <family val="2"/>
      </rPr>
      <t xml:space="preserve">صافي الدين </t>
    </r>
    <r>
      <rPr>
        <sz val="11"/>
        <rFont val="Calibri"/>
        <family val="0"/>
        <charset val="1"/>
      </rPr>
      <t xml:space="preserve">= </t>
    </r>
    <r>
      <rPr>
        <sz val="11"/>
        <rFont val="Noto Sans"/>
        <family val="2"/>
      </rPr>
      <t xml:space="preserve">دين الخروج ناقص النقد القابل للتوزيع</t>
    </r>
    <r>
      <rPr>
        <sz val="11"/>
        <rFont val="Calibri"/>
        <family val="0"/>
        <charset val="1"/>
      </rPr>
      <t xml:space="preserve">. </t>
    </r>
    <r>
      <rPr>
        <sz val="11"/>
        <rFont val="Noto Sans"/>
        <family val="2"/>
      </rPr>
      <t xml:space="preserve">صفر افتراض تحفظي للمقارنة؛ لا تضاف الأرصدة تلقائيًا</t>
    </r>
    <r>
      <rPr>
        <sz val="11"/>
        <rFont val="Calibri"/>
        <family val="0"/>
        <charset val="1"/>
      </rPr>
      <t xml:space="preserve">.</t>
    </r>
  </si>
  <si>
    <r>
      <rPr>
        <sz val="11"/>
        <rFont val="Noto Sans"/>
        <family val="2"/>
      </rPr>
      <t xml:space="preserve">نقد النموذج الختامي معروض للمراجعة؛ تسوى الالتزامات والاحتياطي قبل تحديث صافي الدين، دون احتساب النقد مرتين</t>
    </r>
    <r>
      <rPr>
        <sz val="11"/>
        <rFont val="Calibri"/>
        <family val="0"/>
        <charset val="1"/>
      </rPr>
      <t xml:space="preserve">.</t>
    </r>
  </si>
  <si>
    <t xml:space="preserve">تدفقات المستثمر بالتواريخ الفعلية للنموذج</t>
  </si>
  <si>
    <t xml:space="preserve">تاريخ التطبيقات</t>
  </si>
  <si>
    <t xml:space="preserve">إجمالي التطبيقات</t>
  </si>
  <si>
    <t xml:space="preserve">تاريخ WOO</t>
  </si>
  <si>
    <t xml:space="preserve">XIRR بالتواريخ المقترحة</t>
  </si>
  <si>
    <t xml:space="preserve">MOIC لكل شركة / مسار</t>
  </si>
  <si>
    <t xml:space="preserve">أثر توقيت الدفعات مستقل عن قيمة الخروج. تواريخ الدفع والتوزيع والخروج مقترحة وتثبت في الاتفاق.</t>
  </si>
  <si>
    <t xml:space="preserve">العائد المرجعي القديم يفترض التمويل الكامل في بداية ثلاث فترات سنوية متساوية؛ لا يستبدل العائد المؤرخ.</t>
  </si>
  <si>
    <t xml:space="preserve">مراجعة التمويل والحقوق</t>
  </si>
  <si>
    <t xml:space="preserve">الفحص</t>
  </si>
  <si>
    <t xml:space="preserve">النتيجة</t>
  </si>
  <si>
    <t xml:space="preserve">المعنى</t>
  </si>
  <si>
    <t xml:space="preserve">استثمار التطبيقات مقابل المخصصات</t>
  </si>
  <si>
    <t xml:space="preserve">صفر = مطابق العرض السابق</t>
  </si>
  <si>
    <t xml:space="preserve">جسر تمويل WOO مقابل المصدر</t>
  </si>
  <si>
    <t xml:space="preserve">مخصص أصل نيوهورايزون مقابل الرصيد</t>
  </si>
  <si>
    <t xml:space="preserve">هامش احتياطي WOO بعد اختبار الحقوق</t>
  </si>
  <si>
    <t xml:space="preserve">إذا سالب يلزم تمويل إضافي أو تعديل توقيت الاسترداد</t>
  </si>
  <si>
    <t xml:space="preserve">ملكية WOO المعروضة</t>
  </si>
  <si>
    <t xml:space="preserve">إجمالي حقوق التطبيقات</t>
  </si>
  <si>
    <t xml:space="preserve">مجموع نسب الدفعات</t>
  </si>
  <si>
    <t xml:space="preserve">صفر = تمويل موزع 100%</t>
  </si>
  <si>
    <t xml:space="preserve">أكبر عجز شهري WOO</t>
  </si>
  <si>
    <t xml:space="preserve">إذا موجب يلزم تقديم دفعة أو إثبات رصيد افتتاحي أو خفض/تأجيل صرف</t>
  </si>
  <si>
    <t xml:space="preserve">أكبر عجز شهري التطبيقات</t>
  </si>
  <si>
    <t xml:space="preserve">اختبار شهري إرشادي؛ يثبت بجدول التسليم والتحصيل</t>
  </si>
  <si>
    <t xml:space="preserve">أدنى رصيد WOO بعد أول دفعة</t>
  </si>
  <si>
    <t xml:space="preserve">السالب يظهر نقص سيولة حتى بعد التمويل</t>
  </si>
  <si>
    <t xml:space="preserve">ترتيب الدفعات</t>
  </si>
  <si>
    <t xml:space="preserve">صفر = التواريخ مرتبة</t>
  </si>
  <si>
    <t xml:space="preserve">ربط نقد WOO السنوي بالشهري</t>
  </si>
  <si>
    <t xml:space="preserve">صفر = الرصيد مطابق</t>
  </si>
  <si>
    <t xml:space="preserve">خروج التطبيقات بالحصة الخاصة</t>
  </si>
  <si>
    <t xml:space="preserve">صفر = كل شركة حسب ملكيتها</t>
  </si>
  <si>
    <t xml:space="preserve">إجمالي نيوهورايزون السابق</t>
  </si>
  <si>
    <t xml:space="preserve">صفر = إجمالي التوزيع 1.5 مليون</t>
  </si>
  <si>
    <t xml:space="preserve">هامش 249 ألف في الجسر السنوي السابق ليس رصيد البنك ولا يثبت كفاية الدفعة الأولى؛ القرار يتبع العجز الشهري.</t>
  </si>
  <si>
    <t xml:space="preserve">جسر المصدر يحل محل احتياطيه الاحترازي القديم، ولا تجمع فجوة 2.94 مليون مع احتياطي 1.79 مليون مرتين.</t>
  </si>
  <si>
    <t xml:space="preserve">الدفعات وإعادة أصل نيوهورايزون ومواعيد فتح المواقع يجب أن تتفق قبل الإقفال؛ اختبار النموذج ليس التزام سداد.</t>
  </si>
  <si>
    <t xml:space="preserve">وثائق فحص الاستثمار والإقفال</t>
  </si>
  <si>
    <t xml:space="preserve">الوثيقة</t>
  </si>
  <si>
    <t xml:space="preserve">المسؤول المقترح</t>
  </si>
  <si>
    <t xml:space="preserve">الأولوية</t>
  </si>
  <si>
    <t xml:space="preserve">مستلم 0 أو 1</t>
  </si>
  <si>
    <t xml:space="preserve">المطلوب للمراجعة</t>
  </si>
  <si>
    <t xml:space="preserve">العرض الاستثماري</t>
  </si>
  <si>
    <t xml:space="preserve">الإدارة</t>
  </si>
  <si>
    <t xml:space="preserve">عرض</t>
  </si>
  <si>
    <t xml:space="preserve">نسخة PPTX وPDF</t>
  </si>
  <si>
    <t xml:space="preserve">كلاهما</t>
  </si>
  <si>
    <t xml:space="preserve">النموذج المالي</t>
  </si>
  <si>
    <t xml:space="preserve">المالية</t>
  </si>
  <si>
    <t xml:space="preserve">افتراضات ومصادر وحقوق وحالات</t>
  </si>
  <si>
    <t xml:space="preserve">دراسة السوق</t>
  </si>
  <si>
    <t xml:space="preserve">التطوير</t>
  </si>
  <si>
    <t xml:space="preserve">المصادر وخطة اختبار محلي</t>
  </si>
  <si>
    <t xml:space="preserve">مذكرة الشروط والفحص</t>
  </si>
  <si>
    <t xml:space="preserve">مسودة تفاوضية وقائمة إقفال</t>
  </si>
  <si>
    <t xml:space="preserve">سجلات الشركات وعقود التأسيس</t>
  </si>
  <si>
    <t xml:space="preserve">القانوني</t>
  </si>
  <si>
    <t xml:space="preserve">قبل الإقفال</t>
  </si>
  <si>
    <t xml:space="preserve">كيان وحصص وموافقات</t>
  </si>
  <si>
    <t xml:space="preserve">جدول المساهمين وحقوقهم</t>
  </si>
  <si>
    <t xml:space="preserve">حصة كل شريك ونطاقها</t>
  </si>
  <si>
    <t xml:space="preserve">اتفاق نيوهورايزون والتحويلات</t>
  </si>
  <si>
    <t xml:space="preserve">المالية والقانوني</t>
  </si>
  <si>
    <t xml:space="preserve">أصل وحقوق وجدول استرداد</t>
  </si>
  <si>
    <t xml:space="preserve">اتفاق Little Inventor وحقوق IP</t>
  </si>
  <si>
    <t xml:space="preserve">JV وترخيص وتشغيل وحصرية</t>
  </si>
  <si>
    <t xml:space="preserve">عقود مواقع WOO</t>
  </si>
  <si>
    <t xml:space="preserve">التطوير والقانوني</t>
  </si>
  <si>
    <t xml:space="preserve">إيجار أو حصة وحد أدنى ومدة</t>
  </si>
  <si>
    <t xml:space="preserve">قوائم باوزا ونقاط البيع</t>
  </si>
  <si>
    <t xml:space="preserve">الرياض بارك وإسبيلانيد لنفس الفترات</t>
  </si>
  <si>
    <t xml:space="preserve">عقود وفواتير فعاليات</t>
  </si>
  <si>
    <t xml:space="preserve">مطابقة 6.73 مليون وتحصيل</t>
  </si>
  <si>
    <t xml:space="preserve">عقود جيل والدنهام وVision 7</t>
  </si>
  <si>
    <t xml:space="preserve">نطاق ورسوم وحقوق وتزامات</t>
  </si>
  <si>
    <t xml:space="preserve">تطبيقات</t>
  </si>
  <si>
    <t xml:space="preserve">اعتماد MONTESTEAM وMMI</t>
  </si>
  <si>
    <t xml:space="preserve">الأكاديمية</t>
  </si>
  <si>
    <t xml:space="preserve">جهة إصدار وشهادة وترخيص</t>
  </si>
  <si>
    <t xml:space="preserve">برنامج منشآت واتفاقه</t>
  </si>
  <si>
    <t xml:space="preserve">النطاق والأهلية والجدول</t>
  </si>
  <si>
    <t xml:space="preserve">سجل ملكية البرامج والعلامات</t>
  </si>
  <si>
    <t xml:space="preserve">القانوني والتقنية</t>
  </si>
  <si>
    <t xml:space="preserve">حقوق المصدر والمحتوى والحسابات</t>
  </si>
  <si>
    <t xml:space="preserve">موازنة تجهيز وعروض أسعار</t>
  </si>
  <si>
    <t xml:space="preserve">التطوير والمالية</t>
  </si>
  <si>
    <t xml:space="preserve">قبل الصرف</t>
  </si>
  <si>
    <t xml:space="preserve">CAPEX لكل موقع ومورد</t>
  </si>
  <si>
    <t xml:space="preserve">رخص تشغيل المواقع</t>
  </si>
  <si>
    <t xml:space="preserve">التشغيل</t>
  </si>
  <si>
    <t xml:space="preserve">رعاية مبكرة وتعليم وسلامة حسب الخدمة</t>
  </si>
  <si>
    <t xml:space="preserve">اختبارات التطبيقات والدفع</t>
  </si>
  <si>
    <t xml:space="preserve">التقنية</t>
  </si>
  <si>
    <t xml:space="preserve">تقرير جاهزية المنتج والإطلاق</t>
  </si>
  <si>
    <t xml:space="preserve">التصاميم ومخططات المواقع</t>
  </si>
  <si>
    <t xml:space="preserve">التصميم</t>
  </si>
  <si>
    <t xml:space="preserve">عرض موقع</t>
  </si>
  <si>
    <t xml:space="preserve">8 ملفات PDF منشورة في WOO؛ نماذج 3D القابلة للتحرير لم تستلم.</t>
  </si>
  <si>
    <t xml:space="preserve">سياسات سلامة الطفل والتأمين</t>
  </si>
  <si>
    <t xml:space="preserve">دليل وتغطية ومؤهلات كوادر</t>
  </si>
  <si>
    <t xml:space="preserve">قائمة العملاء وخط المبيعات</t>
  </si>
  <si>
    <t xml:space="preserve">المبيعات</t>
  </si>
  <si>
    <t xml:space="preserve">طلب مدفوع وعقود مؤسسات</t>
  </si>
  <si>
    <t xml:space="preserve">كشوف الحساب والالتزامات</t>
  </si>
  <si>
    <t xml:space="preserve">نقد ودين وأطراف مرتبطة</t>
  </si>
  <si>
    <t xml:space="preserve">موازنة وخطة صرف شهرية</t>
  </si>
  <si>
    <t xml:space="preserve">توقيت سيولة ودفعات ومنع الازدواجية</t>
  </si>
  <si>
    <t xml:space="preserve">بوابة المستثمر المنشورة</t>
  </si>
  <si>
    <t xml:space="preserve">بعد الحزمة</t>
  </si>
  <si>
    <t xml:space="preserve">الرابط العام يعمل؛ الفيديوهات لم تنتج بعد.</t>
  </si>
  <si>
    <t xml:space="preserve">الفيديوهات وملفات 3D الأصلية: مطلوبة، منفصلة عن قبول ملفات التصميم المستلمة.</t>
  </si>
  <si>
    <t xml:space="preserve">عدد الملفات المستلمة</t>
  </si>
  <si>
    <t xml:space="preserve">عدد الوثائق المطلوبة</t>
  </si>
  <si>
    <t xml:space="preserve">نسبة الاستلام</t>
  </si>
  <si>
    <t xml:space="preserve">الاستلام لا يعني قبول نتيجة الفحص. لا تستخدم هذه النسبة كبوابة صرف أو قرار استثمار.</t>
  </si>
  <si>
    <t xml:space="preserve">افتراضات التطبيقات</t>
  </si>
  <si>
    <t xml:space="preserve">قناة الإيراد</t>
  </si>
  <si>
    <t xml:space="preserve">2027 كمية</t>
  </si>
  <si>
    <t xml:space="preserve">2028 كمية</t>
  </si>
  <si>
    <t xml:space="preserve">2029 كمية</t>
  </si>
  <si>
    <t xml:space="preserve">سعر سنوي/عقد</t>
  </si>
  <si>
    <t xml:space="preserve">حصة الإيراد</t>
  </si>
  <si>
    <t xml:space="preserve">التكلفة المباشرة</t>
  </si>
  <si>
    <t xml:space="preserve">طلبات التطبيق</t>
  </si>
  <si>
    <t xml:space="preserve">عقود فعاليات خارجية</t>
  </si>
  <si>
    <t xml:space="preserve">خدمات ومحتوى</t>
  </si>
  <si>
    <t xml:space="preserve">متوسط اشتراكات رقمية مدفوعة</t>
  </si>
  <si>
    <t xml:space="preserve">تسجيلات الأكاديمية والتدريب</t>
  </si>
  <si>
    <t xml:space="preserve">عقود تدريب مؤسسية</t>
  </si>
  <si>
    <t xml:space="preserve">أتعاب تشغيل مدارس خارجية</t>
  </si>
  <si>
    <t xml:space="preserve">أتعاب مراكز خارج WOO</t>
  </si>
  <si>
    <t xml:space="preserve">عقود مرافق موسيقية ورياضية</t>
  </si>
  <si>
    <t xml:space="preserve">عقود STEAM خارجية</t>
  </si>
  <si>
    <t xml:space="preserve">الشركة / المصروف</t>
  </si>
  <si>
    <t xml:space="preserve">2027</t>
  </si>
  <si>
    <t xml:space="preserve">2028</t>
  </si>
  <si>
    <t xml:space="preserve">2029</t>
  </si>
  <si>
    <t xml:space="preserve">المصدر</t>
  </si>
  <si>
    <t xml:space="preserve">Moments مصروف ثابت</t>
  </si>
  <si>
    <t xml:space="preserve">افتراض تخطيطي</t>
  </si>
  <si>
    <t xml:space="preserve">MONTESTEAM مصروف ثابت</t>
  </si>
  <si>
    <t xml:space="preserve">EduMind مصروف ثابت</t>
  </si>
  <si>
    <t xml:space="preserve">Moments إهلاك</t>
  </si>
  <si>
    <t xml:space="preserve">MONTESTEAM إهلاك</t>
  </si>
  <si>
    <t xml:space="preserve">EduMind إهلاك</t>
  </si>
  <si>
    <t xml:space="preserve">Moments تجهيز وتقنية رأسمالية</t>
  </si>
  <si>
    <t xml:space="preserve">MONTESTEAM تجهيز وتقنية رأسمالية</t>
  </si>
  <si>
    <t xml:space="preserve">EduMind تجهيز وتقنية رأسمالية</t>
  </si>
  <si>
    <t xml:space="preserve">Moments احتياطي نقدي</t>
  </si>
  <si>
    <t xml:space="preserve">MONTESTEAM احتياطي نقدي</t>
  </si>
  <si>
    <t xml:space="preserve">EduMind احتياطي نقدي</t>
  </si>
  <si>
    <t xml:space="preserve">الكميات أهداف مبيعات. لا تمثل العملاء الحاليين أو قيمة العقود الموقعة.</t>
  </si>
  <si>
    <t xml:space="preserve">اشتراكات الرقمية متوسط مدفوع خلال السنة × سعر سنوي. عمولة Moments على GMV فقط.</t>
  </si>
  <si>
    <t xml:space="preserve">مصروفات التأسيس والتسويق التشغيلية ضمن المصروف الثابت، ولا تضاف مرة ثانية.</t>
  </si>
  <si>
    <t xml:space="preserve">إيراد EduMind من مراكز خارج WOO فقط. العقود هنا أتعاب الشركة لا الرسوم التعليمية الكاملة.</t>
  </si>
  <si>
    <t xml:space="preserve">المخصصات من العرض الرئيسي ص35. تفاصيل المبيعات والتكاليف أعلاه افتراضات هذه النسخة.</t>
  </si>
  <si>
    <t xml:space="preserve">توقعات التطبيقات</t>
  </si>
  <si>
    <t xml:space="preserve">Moments / طلبات التطبيق</t>
  </si>
  <si>
    <t xml:space="preserve">Moments / عقود فعاليات خارجية</t>
  </si>
  <si>
    <t xml:space="preserve">Moments / خدمات ومحتوى</t>
  </si>
  <si>
    <t xml:space="preserve">MONTESTEAM / متوسط اشتراكات رقمية مدفوعة</t>
  </si>
  <si>
    <t xml:space="preserve">MONTESTEAM / تسجيلات الأكاديمية والتدريب</t>
  </si>
  <si>
    <t xml:space="preserve">MONTESTEAM / عقود تدريب مؤسسية</t>
  </si>
  <si>
    <t xml:space="preserve">EduMind / متوسط اشتراكات رقمية مدفوعة</t>
  </si>
  <si>
    <t xml:space="preserve">EduMind / أتعاب تشغيل مدارس خارجية</t>
  </si>
  <si>
    <t xml:space="preserve">EduMind / أتعاب مراكز خارج WOO</t>
  </si>
  <si>
    <t xml:space="preserve">EduMind / عقود مرافق موسيقية ورياضية</t>
  </si>
  <si>
    <t xml:space="preserve">EduMind / عقود STEAM خارجية</t>
  </si>
  <si>
    <t xml:space="preserve">الإيراد</t>
  </si>
  <si>
    <t xml:space="preserve">المصروف الثابت</t>
  </si>
  <si>
    <t xml:space="preserve">EBITDA</t>
  </si>
  <si>
    <t xml:space="preserve">الإهلاك</t>
  </si>
  <si>
    <t xml:space="preserve">EBIT</t>
  </si>
  <si>
    <t xml:space="preserve">حسم الالتزامات</t>
  </si>
  <si>
    <t xml:space="preserve">الربح بعد الحسم</t>
  </si>
  <si>
    <t xml:space="preserve">رأس المال العامل الختامي</t>
  </si>
  <si>
    <t xml:space="preserve">الزيادة في رأس المال العامل</t>
  </si>
  <si>
    <t xml:space="preserve">التجهيز الرأسمالي</t>
  </si>
  <si>
    <t xml:space="preserve">تدفق حر قبل التوزيع</t>
  </si>
  <si>
    <t xml:space="preserve">نقد افتتاحي ودفعات السنة</t>
  </si>
  <si>
    <t xml:space="preserve">احتياطي مطلوب</t>
  </si>
  <si>
    <t xml:space="preserve">نقد نهاية السنة</t>
  </si>
  <si>
    <t xml:space="preserve">حصة المستثمر من التوزيع</t>
  </si>
  <si>
    <t xml:space="preserve">عائد نقدي على الاستثمار</t>
  </si>
  <si>
    <t xml:space="preserve">إجمالي الشركات</t>
  </si>
  <si>
    <t xml:space="preserve">توزيع المستثمر</t>
  </si>
  <si>
    <t xml:space="preserve">عائد مستثمر WOO</t>
  </si>
  <si>
    <t xml:space="preserve">المقياس</t>
  </si>
  <si>
    <t xml:space="preserve">السنة 1</t>
  </si>
  <si>
    <t xml:space="preserve">السنة 2</t>
  </si>
  <si>
    <t xml:space="preserve">السنة 3</t>
  </si>
  <si>
    <t xml:space="preserve">الإيراد الخارجي المصدر</t>
  </si>
  <si>
    <t xml:space="preserve">EBIT المصدر</t>
  </si>
  <si>
    <t xml:space="preserve">حقوق 40% Little Inventor</t>
  </si>
  <si>
    <t xml:space="preserve">نتيجة الساحة والتكية</t>
  </si>
  <si>
    <t xml:space="preserve">حصة نيوهورايزون 20%</t>
  </si>
  <si>
    <t xml:space="preserve">EBIT عائد إلى WOO قبل الحسم</t>
  </si>
  <si>
    <t xml:space="preserve">حسم احترازي 20%</t>
  </si>
  <si>
    <t xml:space="preserve">EBIT بعد الحسم</t>
  </si>
  <si>
    <t xml:space="preserve">حسم التزامات 10%</t>
  </si>
  <si>
    <t xml:space="preserve">ربح مرشح للتوزيع</t>
  </si>
  <si>
    <t xml:space="preserve">تدفق نقدي المصدر</t>
  </si>
  <si>
    <t xml:space="preserve">التدفق النقدي بعد حسم WOO</t>
  </si>
  <si>
    <t xml:space="preserve">استرداد أصل نيوهورايزون</t>
  </si>
  <si>
    <t xml:space="preserve">نقد قبل توزيعات جديدة</t>
  </si>
  <si>
    <t xml:space="preserve">فجوة إضافية عن المصدر</t>
  </si>
  <si>
    <t xml:space="preserve">نقد بداية بعد تمويل الفترة السابقة</t>
  </si>
  <si>
    <t xml:space="preserve">نقد متاح بعد احتياطي المصدر</t>
  </si>
  <si>
    <t xml:space="preserve">رصيد نقد نهاية السنة بعد التمويل والتوزيع</t>
  </si>
  <si>
    <t xml:space="preserve">توزيع المستثمر الجديد</t>
  </si>
  <si>
    <t xml:space="preserve">عائد نقدي سنوي</t>
  </si>
  <si>
    <t xml:space="preserve">EBITDA المصدر</t>
  </si>
  <si>
    <t xml:space="preserve">EBITDA عائد إلى WOO بعد الحسم</t>
  </si>
  <si>
    <t xml:space="preserve">السيولة الشهرية والتوزيع مرتبطان بالدفعات والتوقيت وVAT؛ لا يحجب العجز.</t>
  </si>
  <si>
    <t xml:space="preserve">مخصص أصل نيوهورايزون 1.5 مليون في السنة 1 افتراض اختباري، وليس موعد سداد متفقاً.</t>
  </si>
  <si>
    <t xml:space="preserve">تخصم حصته 20% سنوياً بشكل احترازي. نطاق وبدء الاستحقاق يثبتان وفق اتفاقه.</t>
  </si>
  <si>
    <t xml:space="preserve">العجز الإضافي يستخدم هامش الاحتياطي في تمويل 7.00 مليون، ويطابق في Review.</t>
  </si>
  <si>
    <t xml:space="preserve">لا تعني أرباح المحفظة الإجمالية أن المستثمر الجديد يستحق نسبة مباشرة منها.</t>
  </si>
  <si>
    <t xml:space="preserve">الأدلة التشغيلية والفترات</t>
  </si>
  <si>
    <t xml:space="preserve">الموقع / الدليل</t>
  </si>
  <si>
    <t xml:space="preserve">بداية الفترة</t>
  </si>
  <si>
    <t xml:space="preserve">نهاية الفترة</t>
  </si>
  <si>
    <t xml:space="preserve">المبيعات / ريال</t>
  </si>
  <si>
    <t xml:space="preserve">الربح المعلن</t>
  </si>
  <si>
    <t xml:space="preserve">العمليات</t>
  </si>
  <si>
    <t xml:space="preserve">متوسط العملية</t>
  </si>
  <si>
    <t xml:space="preserve">هامش الربح</t>
  </si>
  <si>
    <t xml:space="preserve">المصدر: العرض الرئيسي السابق ص19–20 وص24. بيانات الإدارة؛ تحتاج قوائم وفواتير وتحويلات للمطابقة.</t>
  </si>
  <si>
    <t xml:space="preserve">إسبيلانيد مزيج الإيراد</t>
  </si>
  <si>
    <t xml:space="preserve">المبلغ</t>
  </si>
  <si>
    <t xml:space="preserve">حصة من الإجمالي</t>
  </si>
  <si>
    <t xml:space="preserve">إجمالي الفترة</t>
  </si>
  <si>
    <t xml:space="preserve">العرض السابق ص21</t>
  </si>
  <si>
    <t xml:space="preserve">حفلات الفترة</t>
  </si>
  <si>
    <t xml:space="preserve">الحفلات 20.5% لنفس الفترة. لا تقسم على مبيعات 874,948 لأن الفترات مختلفة.</t>
  </si>
  <si>
    <t xml:space="preserve">مبيعات حفلات / الموقع</t>
  </si>
  <si>
    <t xml:space="preserve">الفترة النصية في المصدر</t>
  </si>
  <si>
    <t xml:space="preserve">حالة الدليل</t>
  </si>
  <si>
    <t xml:space="preserve">سبتمبر 2024–سبتمبر 2025</t>
  </si>
  <si>
    <t xml:space="preserve">بيان إدارة</t>
  </si>
  <si>
    <t xml:space="preserve">العرض السابق ص22</t>
  </si>
  <si>
    <t xml:space="preserve">ليسن فالي</t>
  </si>
  <si>
    <t xml:space="preserve">نوفمبر 2024–ديسمبر 2025</t>
  </si>
  <si>
    <t xml:space="preserve">روشن الرياض</t>
  </si>
  <si>
    <t xml:space="preserve">أكتوبر 2024–ديسمبر 2025</t>
  </si>
  <si>
    <t xml:space="preserve">جدة بارك</t>
  </si>
  <si>
    <t xml:space="preserve">سبتمبر 2024–ديسمبر 2025</t>
  </si>
  <si>
    <t xml:space="preserve">نوفمبر 2023–ديسمبر 2025</t>
  </si>
  <si>
    <t xml:space="preserve">الفعاليات 2024 من خطة العمل السابقة</t>
  </si>
  <si>
    <t xml:space="preserve">رقم تخطيطي يحتاج إثبات</t>
  </si>
  <si>
    <t xml:space="preserve">لا تجمع أرقام الحفلات كإيراد سنة واحدة. لا تدخل هذه الأدلة تلقائياً في توقعات WOO.</t>
  </si>
  <si>
    <t xml:space="preserve">محاكاة الإيجار وتقاسم الإيراد</t>
  </si>
  <si>
    <t xml:space="preserve">كل القيم شهرية وبالريال. مثال قرار تعاقدي؛ لا يغير نموذج WOO أو يمثل عقد موقع.</t>
  </si>
  <si>
    <t xml:space="preserve">المدخل</t>
  </si>
  <si>
    <t xml:space="preserve">القيمة القابلة للتعديل</t>
  </si>
  <si>
    <t xml:space="preserve">التعريف</t>
  </si>
  <si>
    <t xml:space="preserve">فرضية للمقارنة</t>
  </si>
  <si>
    <t xml:space="preserve">نسبة تكلفة مباشرة</t>
  </si>
  <si>
    <t xml:space="preserve">مصروف ثابت آخر</t>
  </si>
  <si>
    <t xml:space="preserve">إيجار ثابت</t>
  </si>
  <si>
    <t xml:space="preserve">افتراض الرياض بارك في Site Costs J8</t>
  </si>
  <si>
    <t xml:space="preserve">حصة الإيراد البديلة</t>
  </si>
  <si>
    <t xml:space="preserve">فرضية المقارنة، لا عقد للرياض بارك</t>
  </si>
  <si>
    <t xml:space="preserve">حد أدنى شهري في تقاسم الإيراد</t>
  </si>
  <si>
    <t xml:space="preserve">المقارنة</t>
  </si>
  <si>
    <t xml:space="preserve">تقاسم إيراد</t>
  </si>
  <si>
    <t xml:space="preserve">المصروف الثابت الآخر</t>
  </si>
  <si>
    <t xml:space="preserve">تكلفة الموقع</t>
  </si>
  <si>
    <t xml:space="preserve">نتيجة شهرية قبل الإهلاك</t>
  </si>
  <si>
    <t xml:space="preserve">الهامش</t>
  </si>
  <si>
    <t xml:space="preserve">مبيعات التعادل</t>
  </si>
  <si>
    <t xml:space="preserve">مبيعات تتساوى عندها تكلفة الموقع</t>
  </si>
  <si>
    <t xml:space="preserve">تقاسم الإيراد يقلل الالتزام عند ضعف الطلب؛ قد يزيد تكلفة الموقع عند ارتفاع المبيعات.</t>
  </si>
  <si>
    <t xml:space="preserve">الحد الأدنى وحصة الإيراد كلاهما يؤثران في التعادل. التجهيز والتمويل والضريبة والإهلاك خارج المثال.</t>
  </si>
  <si>
    <t xml:space="preserve">مبيعات اختبار شهري</t>
  </si>
  <si>
    <t xml:space="preserve">نتيجة الثابت</t>
  </si>
  <si>
    <t xml:space="preserve">نتيجة تقاسم الإيراد</t>
  </si>
  <si>
    <t xml:space="preserve">الشركاء والأدوار والوثائق</t>
  </si>
  <si>
    <t xml:space="preserve">الشريك</t>
  </si>
  <si>
    <t xml:space="preserve">النطاق</t>
  </si>
  <si>
    <t xml:space="preserve">الدور</t>
  </si>
  <si>
    <t xml:space="preserve">الحالة وفق الإدارة</t>
  </si>
  <si>
    <t xml:space="preserve">وثيقة الإقفال</t>
  </si>
  <si>
    <t xml:space="preserve">جيل</t>
  </si>
  <si>
    <t xml:space="preserve">EduMind / WOO</t>
  </si>
  <si>
    <t xml:space="preserve">تقنية ومحتوى عربي وIPs</t>
  </si>
  <si>
    <t xml:space="preserve">عقد EduMind موقع؛ تفعيل WOO بحسب النطاق</t>
  </si>
  <si>
    <t xml:space="preserve">العقد ونطاق حقوق المحتوى</t>
  </si>
  <si>
    <t xml:space="preserve">Little Inventor</t>
  </si>
  <si>
    <t xml:space="preserve">WOO / IPs</t>
  </si>
  <si>
    <t xml:space="preserve">HERO وبرامج هندسة ونجارة</t>
  </si>
  <si>
    <t xml:space="preserve">دور شريك وفق الإدارة؛ شروط JV تفاوضية</t>
  </si>
  <si>
    <t xml:space="preserve">اتفاق التشغيل والترخيص ونسبة JV</t>
  </si>
  <si>
    <t xml:space="preserve">الدنهام</t>
  </si>
  <si>
    <t xml:space="preserve">موسيقى وأكاديمية ودروس</t>
  </si>
  <si>
    <t xml:space="preserve">عقد EduMind موقع وفق الإدارة</t>
  </si>
  <si>
    <t xml:space="preserve">نطاق فروع WOO ورسوم التشغيل</t>
  </si>
  <si>
    <t xml:space="preserve">واحة الملك سلمان</t>
  </si>
  <si>
    <t xml:space="preserve">FAB LAB لأعمار 14–18</t>
  </si>
  <si>
    <t xml:space="preserve">تفعيل مستهدف</t>
  </si>
  <si>
    <t xml:space="preserve">اتفاق وموازنة ومواصفات المعمل</t>
  </si>
  <si>
    <t xml:space="preserve">WOO / تطبيق</t>
  </si>
  <si>
    <t xml:space="preserve">أعياد ميلاد ورحلات وتخرج</t>
  </si>
  <si>
    <t xml:space="preserve">المشروع بدأ؛ التطبيق قبل الإطلاق</t>
  </si>
  <si>
    <t xml:space="preserve">جدول خدمات وموردين وباقات</t>
  </si>
  <si>
    <t xml:space="preserve">MONTESTEAM / MMI</t>
  </si>
  <si>
    <t xml:space="preserve">WOO / أكاديمية</t>
  </si>
  <si>
    <t xml:space="preserve">تدريب وشهادات منتسوري</t>
  </si>
  <si>
    <t xml:space="preserve">موقع جاكس واتفاق وتعيين هيرو</t>
  </si>
  <si>
    <t xml:space="preserve">اعتماد وإصدار شهادة وتراخيص</t>
  </si>
  <si>
    <t xml:space="preserve">ChildHorizon2030</t>
  </si>
  <si>
    <t xml:space="preserve">تشغيل صباحي بري سكول</t>
  </si>
  <si>
    <t xml:space="preserve">تشغيل مخطط</t>
  </si>
  <si>
    <t xml:space="preserve">اتفاق تشغيل وترخيص كل موقع</t>
  </si>
  <si>
    <t xml:space="preserve">Vision 7</t>
  </si>
  <si>
    <t xml:space="preserve">مرافق رياضية</t>
  </si>
  <si>
    <t xml:space="preserve">عقد موقع وفق الإدارة</t>
  </si>
  <si>
    <t xml:space="preserve">الرسوم ومواقع التشغيل</t>
  </si>
  <si>
    <t xml:space="preserve">منشآت</t>
  </si>
  <si>
    <t xml:space="preserve">برنامج تمكين بري سكول وحضانات</t>
  </si>
  <si>
    <t xml:space="preserve">اتفاق على البرنامج</t>
  </si>
  <si>
    <t xml:space="preserve">نطاق البرنامج وآلية التنفيذ</t>
  </si>
  <si>
    <t xml:space="preserve">الأدوار والحالات بتاريخ 6 أكتوبر 2026. وصف الدور لا يثبت منح حقوق حصرية أو ترخيصاً أو مساهمة رأسمالية.</t>
  </si>
  <si>
    <t xml:space="preserve">بيانات WOO الأساسية</t>
  </si>
  <si>
    <t xml:space="preserve">الإيراد الخارجي</t>
  </si>
  <si>
    <t xml:space="preserve">النقد بعد استثمارات وتوزيعات JV</t>
  </si>
  <si>
    <t xml:space="preserve">ربح JV قبل الضريبة</t>
  </si>
  <si>
    <t xml:space="preserve">نتيجة الساحة والتكية بعد التكاليف المشتركة</t>
  </si>
  <si>
    <t xml:space="preserve">تجهيز مستقبلي</t>
  </si>
  <si>
    <t xml:space="preserve">أكبر عجز نقدي</t>
  </si>
  <si>
    <t xml:space="preserve">احتياطي شهرين</t>
  </si>
  <si>
    <t xml:space="preserve">جسر VAT للتجهيز</t>
  </si>
  <si>
    <t xml:space="preserve">احتياج WOO من المصدر</t>
  </si>
  <si>
    <t xml:space="preserve">المصدر: WOO Consolidated Financial Model 2026 2029 60_40.xlsx</t>
  </si>
  <si>
    <t xml:space="preserve">ملف المصدر التفصيلي مضمن محليًا في الأوراق التي تبدأ W؛ دون روابط إلى ملف خارجي.</t>
  </si>
  <si>
    <t xml:space="preserve">نتيجة الساحة والتكية: مجموع Site Monthly AA بشرطي Site ID وYear.</t>
  </si>
  <si>
    <t xml:space="preserve">سنوات WOO: سبتمبر 2026–أغسطس 2027 / 2027–2028 / 2028–2029.</t>
  </si>
  <si>
    <t xml:space="preserve">الأرقام توقعات أساسية. القوائم الفعلية والعقود النهائية ليست ضمن النموذج.</t>
  </si>
  <si>
    <t xml:space="preserve">الحقوق القائمة والمخصصات وفق العرض والنموذج السابق؛ توزيع نيوهورايزون 1.26 / 0.24 حسب تحديث الإدارة الأخير.</t>
  </si>
  <si>
    <t xml:space="preserve">VAT 15%: دليل ZATCA للخدمات المهنية، معدل أساسي مع معالجة كل نشاط على حدة.</t>
  </si>
  <si>
    <t xml:space="preserve">https://www.zatca.gov.sa/en/HelpCenter/guidelines/Documents/VAT_Professional_Services_Guideline_English.pdf</t>
  </si>
  <si>
    <t xml:space="preserve">WOO forward fit-out and preopening budgets</t>
  </si>
  <si>
    <t xml:space="preserve">Case</t>
  </si>
  <si>
    <t xml:space="preserve">ID</t>
  </si>
  <si>
    <t xml:space="preserve">Site</t>
  </si>
  <si>
    <t xml:space="preserve">Forward capex</t>
  </si>
  <si>
    <t xml:space="preserve">Preopening expense</t>
  </si>
  <si>
    <t xml:space="preserve">Rent deposit</t>
  </si>
  <si>
    <t xml:space="preserve">Life months</t>
  </si>
  <si>
    <t xml:space="preserve">Preopening month</t>
  </si>
  <si>
    <t xml:space="preserve">Opening</t>
  </si>
  <si>
    <t xml:space="preserve">Funding responsibility</t>
  </si>
  <si>
    <t xml:space="preserve">Budget scope</t>
  </si>
  <si>
    <t xml:space="preserve">Saha Sayyid Al Shuhada</t>
  </si>
  <si>
    <t xml:space="preserve">WOO / site funding partner</t>
  </si>
  <si>
    <t xml:space="preserve">Forward works allowance; excludes historical spending</t>
  </si>
  <si>
    <t xml:space="preserve">Takiya Bahr</t>
  </si>
  <si>
    <t xml:space="preserve">Riyadh Park</t>
  </si>
  <si>
    <t xml:space="preserve">Esplanade</t>
  </si>
  <si>
    <t xml:space="preserve">Roshn Front</t>
  </si>
  <si>
    <t xml:space="preserve">Cultural Houses Riyadh</t>
  </si>
  <si>
    <t xml:space="preserve">Cultural Houses Dammam</t>
  </si>
  <si>
    <t xml:space="preserve">Masar Makkah</t>
  </si>
  <si>
    <t xml:space="preserve">KAFD</t>
  </si>
  <si>
    <t xml:space="preserve">Al Othaim with Aroosh and Jeel</t>
  </si>
  <si>
    <t xml:space="preserve">Forward capex is proposed remaining fit-out / readiness work, not total historical project value or a reconstruction of previous funding.</t>
  </si>
  <si>
    <t xml:space="preserve">Existing spent amounts and assets are outside this forecast. Reconcile remaining work to supplier BOQs before approving the funding envelope.</t>
  </si>
  <si>
    <t xml:space="preserve">Rent deposit assumes two months and remains an asset; no deposit recovery is forecast during the 36-month term.</t>
  </si>
  <si>
    <t xml:space="preserve">WOO operating and financial assumptions</t>
  </si>
  <si>
    <t xml:space="preserve">Selected case</t>
  </si>
  <si>
    <t xml:space="preserve">Driver</t>
  </si>
  <si>
    <t xml:space="preserve">Y1 Sep 2026 to Aug 2027</t>
  </si>
  <si>
    <t xml:space="preserve">Y2 Sep 2027 to Aug 2028</t>
  </si>
  <si>
    <t xml:space="preserve">Y3 Sep 2028 to Aug 2029</t>
  </si>
  <si>
    <t xml:space="preserve">Basis</t>
  </si>
  <si>
    <t xml:space="preserve">Volume multiplier active</t>
  </si>
  <si>
    <t xml:space="preserve">Conservative</t>
  </si>
  <si>
    <t xml:space="preserve">Base</t>
  </si>
  <si>
    <t xml:space="preserve">Growth</t>
  </si>
  <si>
    <t xml:space="preserve">Price multiplier active</t>
  </si>
  <si>
    <t xml:space="preserve">Variable delivery cost multiplier active</t>
  </si>
  <si>
    <t xml:space="preserve">Fixed cost multiplier active</t>
  </si>
  <si>
    <t xml:space="preserve">Committed fit-out multiplier active</t>
  </si>
  <si>
    <t xml:space="preserve">Site visit growth cumulative</t>
  </si>
  <si>
    <t xml:space="preserve">10% then 8%; before selected volume case</t>
  </si>
  <si>
    <t xml:space="preserve">Site price growth cumulative</t>
  </si>
  <si>
    <t xml:space="preserve">3% per year</t>
  </si>
  <si>
    <t xml:space="preserve">Payroll growth cumulative</t>
  </si>
  <si>
    <t xml:space="preserve">5% per year</t>
  </si>
  <si>
    <t xml:space="preserve">Other fixed cost growth cumulative</t>
  </si>
  <si>
    <t xml:space="preserve">4% per year</t>
  </si>
  <si>
    <t xml:space="preserve">Global driver</t>
  </si>
  <si>
    <t xml:space="preserve">Value</t>
  </si>
  <si>
    <t xml:space="preserve">VAT planning rate</t>
  </si>
  <si>
    <t xml:space="preserve">Taxable retail ticket prices include VAT; forecast statements exclude VAT</t>
  </si>
  <si>
    <t xml:space="preserve">Site supervisor monthly salary</t>
  </si>
  <si>
    <t xml:space="preserve">Full time equivalent per site; planning salary</t>
  </si>
  <si>
    <t xml:space="preserve">Facilitator monthly salary</t>
  </si>
  <si>
    <t xml:space="preserve">Full time equivalent; roster and hours to be approved</t>
  </si>
  <si>
    <t xml:space="preserve">Reception and cashier monthly salary</t>
  </si>
  <si>
    <t xml:space="preserve">Full time equivalent</t>
  </si>
  <si>
    <t xml:space="preserve">Cleaner monthly salary</t>
  </si>
  <si>
    <t xml:space="preserve">Employer cost allowance</t>
  </si>
  <si>
    <t xml:space="preserve">Planning allowance for benefits, insurance and employment costs; not a statutory rate</t>
  </si>
  <si>
    <t xml:space="preserve">Operations Lead basic monthly salary</t>
  </si>
  <si>
    <t xml:space="preserve">One full-time appointment; no per-site multiplier.</t>
  </si>
  <si>
    <t xml:space="preserve">Riyadh monthly housing allowance</t>
  </si>
  <si>
    <t xml:space="preserve">Separate from basic salary; no duplicate accommodation cost.</t>
  </si>
  <si>
    <t xml:space="preserve">Lead employer cost allowance</t>
  </si>
  <si>
    <t xml:space="preserve">Planning allowance on basic salary only; excludes housing.</t>
  </si>
  <si>
    <t xml:space="preserve">Report review: Business Days</t>
  </si>
  <si>
    <t xml:space="preserve">From submission; comments cannot delay the undisputed amount.</t>
  </si>
  <si>
    <t xml:space="preserve">Incentive payment: Business Days</t>
  </si>
  <si>
    <t xml:space="preserve">From report submission; Friday and Saturday excluded.</t>
  </si>
  <si>
    <t xml:space="preserve">Site forecast weighted KPI score</t>
  </si>
  <si>
    <t xml:space="preserve">Forecast assumption only; actual results use KPI Tracker.</t>
  </si>
  <si>
    <t xml:space="preserve">TLI localisation launch allowance</t>
  </si>
  <si>
    <t xml:space="preserve">Retained one-time local launch budget; no royalty recovery mechanism.</t>
  </si>
  <si>
    <t xml:space="preserve">Party A share of TLI JV</t>
  </si>
  <si>
    <t xml:space="preserve">Actual JV ownership; no share of unrelated WOO operations.</t>
  </si>
  <si>
    <t xml:space="preserve">Party B share of TLI JV</t>
  </si>
  <si>
    <t xml:space="preserve">Actual JV ownership; core TLI IP rights have no extra royalty.</t>
  </si>
  <si>
    <t xml:space="preserve">Venue collections in sale month</t>
  </si>
  <si>
    <t xml:space="preserve">Remainder collected next month</t>
  </si>
  <si>
    <t xml:space="preserve">Direct supplier cost paid currently</t>
  </si>
  <si>
    <t xml:space="preserve">Remainder paid in the following month</t>
  </si>
  <si>
    <t xml:space="preserve">Operating reserve months</t>
  </si>
  <si>
    <t xml:space="preserve">Additional funding buffer based on peak fixed monthly operating cost</t>
  </si>
  <si>
    <t xml:space="preserve">Operations Lead employment start</t>
  </si>
  <si>
    <t xml:space="preserve">1 October 2026 planning date; replace with actual appointment.</t>
  </si>
  <si>
    <t xml:space="preserve">TLI local administration monthly cost</t>
  </si>
  <si>
    <t xml:space="preserve">Local support budget; excludes Party B core IP support already contributed.</t>
  </si>
  <si>
    <t xml:space="preserve">WOO commercial launch cost</t>
  </si>
  <si>
    <t xml:space="preserve">One-time October cost; independent of site preopening and TLI localisation</t>
  </si>
  <si>
    <t xml:space="preserve">Opening month volume ramp</t>
  </si>
  <si>
    <t xml:space="preserve">Applied alongside exact opening-day proration</t>
  </si>
  <si>
    <t xml:space="preserve">Second month volume ramp</t>
  </si>
  <si>
    <t xml:space="preserve">Third month onwards reaches full modeled run rate</t>
  </si>
  <si>
    <t xml:space="preserve">Forecast as of</t>
  </si>
  <si>
    <t xml:space="preserve">All months remain estimates; no actual statements have been supplied</t>
  </si>
  <si>
    <t xml:space="preserve">Capex paid before opening</t>
  </si>
  <si>
    <t xml:space="preserve">Prior calendar month, clamped at September 2026; balance in opening month</t>
  </si>
  <si>
    <t xml:space="preserve">Fit-out useful life months</t>
  </si>
  <si>
    <t xml:space="preserve">Forward capex only; excludes historical assets and depreciation</t>
  </si>
  <si>
    <t xml:space="preserve">Year 2 renewal capex rate</t>
  </si>
  <si>
    <t xml:space="preserve">2% of included forward fit-out budget; paid in September 2027</t>
  </si>
  <si>
    <t xml:space="preserve">Quarterly report submission: Business Days</t>
  </si>
  <si>
    <t xml:space="preserve">After each incentive quarter; public holidays not yet entered.</t>
  </si>
  <si>
    <t xml:space="preserve">Year 3 renewal capex rate</t>
  </si>
  <si>
    <t xml:space="preserve">3% of included forward fit-out budget; paid in September 2028</t>
  </si>
  <si>
    <t xml:space="preserve">WOO central overhead</t>
  </si>
  <si>
    <t xml:space="preserve">Year 1 per month</t>
  </si>
  <si>
    <t xml:space="preserve">Year 2 per month</t>
  </si>
  <si>
    <t xml:space="preserve">Year 3 per month</t>
  </si>
  <si>
    <t xml:space="preserve">Responsibility</t>
  </si>
  <si>
    <t xml:space="preserve">Finance and administration</t>
  </si>
  <si>
    <t xml:space="preserve">WOO; does not duplicate operations management</t>
  </si>
  <si>
    <t xml:space="preserve">Sales and account management</t>
  </si>
  <si>
    <t xml:space="preserve">Incremental account-support team; exclude the Operations Lead role.</t>
  </si>
  <si>
    <t xml:space="preserve">Corporate marketing</t>
  </si>
  <si>
    <t xml:space="preserve">WOO; site marketing is budgeted separately</t>
  </si>
  <si>
    <t xml:space="preserve">CRM website and tools</t>
  </si>
  <si>
    <t xml:space="preserve">WOO-owned systems</t>
  </si>
  <si>
    <t xml:space="preserve">Office and professional support</t>
  </si>
  <si>
    <t xml:space="preserve">Total WOO central overhead</t>
  </si>
  <si>
    <t xml:space="preserve">Calendar month</t>
  </si>
  <si>
    <t xml:space="preserve">Seasonality weight</t>
  </si>
  <si>
    <t xml:space="preserve">Year month</t>
  </si>
  <si>
    <t xml:space="preserve">Y1 program delivery weight</t>
  </si>
  <si>
    <t xml:space="preserve">Y2 weight</t>
  </si>
  <si>
    <t xml:space="preserve">Y3 weight</t>
  </si>
  <si>
    <t xml:space="preserve">Sources: supplied consolidated model and site forecasts; current WOO three-stream operating agreement.</t>
  </si>
  <si>
    <t xml:space="preserve">New attendance, salaries, rent, capex and delivery budgets are proposed management estimates; replace with lease terms, rosters and BOQs.</t>
  </si>
  <si>
    <t xml:space="preserve">VAT reference: https://zatca.gov.sa/ar/MediaCenter/News/Pages/News-342.aspx (accessed 29 Sep 2026).</t>
  </si>
  <si>
    <t xml:space="preserve">Seasonality is a normalised planning pattern, not a dated Ramadan, Hajj or school-holiday forecast.</t>
  </si>
  <si>
    <t xml:space="preserve">Saha uses its own supplied demand, revenue growth and operating-cost drivers in Sites and Site Costs. Other site growth and ramp assumptions are unchanged.</t>
  </si>
  <si>
    <t xml:space="preserve">Workstream and payout assumptions</t>
  </si>
  <si>
    <t xml:space="preserve">Year 1</t>
  </si>
  <si>
    <t xml:space="preserve">Year 2</t>
  </si>
  <si>
    <t xml:space="preserve">Year 3</t>
  </si>
  <si>
    <t xml:space="preserve">Lead time allocated to sites</t>
  </si>
  <si>
    <t xml:space="preserve">Proposed time allocation; approve before the period.</t>
  </si>
  <si>
    <t xml:space="preserve">Lead time allocated to external WOO IPs</t>
  </si>
  <si>
    <t xml:space="preserve">Lead time allocated to TLI JV</t>
  </si>
  <si>
    <t xml:space="preserve">Remaining share of one salary, housing and employer-cost package.</t>
  </si>
  <si>
    <t xml:space="preserve">WOO overhead allocated to sites</t>
  </si>
  <si>
    <t xml:space="preserve">Planning split of existing WOO overhead only.</t>
  </si>
  <si>
    <t xml:space="preserve">WOO overhead allocated to external IPs</t>
  </si>
  <si>
    <t xml:space="preserve">TLI JV retains its separately budgeted local administration.</t>
  </si>
  <si>
    <t xml:space="preserve">Site forecast weighted score</t>
  </si>
  <si>
    <t xml:space="preserve">Forecast only; no achieved performance is assumed in the actual tracker.</t>
  </si>
  <si>
    <t xml:space="preserve">External WOO IP forecast weighted score</t>
  </si>
  <si>
    <t xml:space="preserve">Forecast only; actual score uses the separate IP scorecard.</t>
  </si>
  <si>
    <t xml:space="preserve">External WOO IP profit achievement</t>
  </si>
  <si>
    <t xml:space="preserve">Against an approved positive target; forecast assumption.</t>
  </si>
  <si>
    <t xml:space="preserve">Modeled JV payout of retained profit</t>
  </si>
  <si>
    <t xml:space="preserve">Planning assumption only; a distribution requires shareholder approval.</t>
  </si>
  <si>
    <t xml:space="preserve">JV tax and finance provision: annual SAR</t>
  </si>
  <si>
    <t xml:space="preserve">Not estimated; enter the applicable amount before approving distributions.</t>
  </si>
  <si>
    <t xml:space="preserve">JV cash reserve: months</t>
  </si>
  <si>
    <t xml:space="preserve">Reserve based on local administration and allocated Lead cost.</t>
  </si>
  <si>
    <t xml:space="preserve">JV distribution cash lag: months</t>
  </si>
  <si>
    <t xml:space="preserve">Planning cash timing after August year-end; not a contractual deadline.</t>
  </si>
  <si>
    <t xml:space="preserve">Cost allocations and the 50% payout are adjustable planning assumptions, not additional contractual terms.</t>
  </si>
  <si>
    <t xml:space="preserve">KPI measure</t>
  </si>
  <si>
    <t xml:space="preserve">Sites</t>
  </si>
  <si>
    <t xml:space="preserve">External WOO IPs</t>
  </si>
  <si>
    <t xml:space="preserve">Score cap</t>
  </si>
  <si>
    <t xml:space="preserve">Operating profit achievement</t>
  </si>
  <si>
    <t xml:space="preserve">Revenue achievement</t>
  </si>
  <si>
    <t xml:space="preserve">Collection performance</t>
  </si>
  <si>
    <t xml:space="preserve">Quality and customer satisfaction</t>
  </si>
  <si>
    <t xml:space="preserve">Site readiness and operating milestones</t>
  </si>
  <si>
    <t xml:space="preserve">New contracts, renewals and IP activation</t>
  </si>
  <si>
    <t xml:space="preserve">Total weights</t>
  </si>
  <si>
    <t xml:space="preserve">Minimum weighted score</t>
  </si>
  <si>
    <t xml:space="preserve">Site rate</t>
  </si>
  <si>
    <t xml:space="preserve">External WOO IP rate</t>
  </si>
  <si>
    <t xml:space="preserve">Minimum IP profit achievement</t>
  </si>
  <si>
    <t xml:space="preserve">Collection carries 15% weight. There is no 95% collection payment gate, margin hurdle or percentage-of-salary incentive cap.</t>
  </si>
  <si>
    <t xml:space="preserve">Within the site pool, managed operating days allocate shared costs for planning; actual allocation must reflect agreed duties or time.</t>
  </si>
  <si>
    <t xml:space="preserve">JV capital, financing and final tax/zakat have not been provided. Modeled dividends are provisional and cash limited.</t>
  </si>
  <si>
    <t xml:space="preserve">WOO monthly operating forecast</t>
  </si>
  <si>
    <t xml:space="preserve">Metric</t>
  </si>
  <si>
    <t xml:space="preserve">Venue revenue</t>
  </si>
  <si>
    <t xml:space="preserve">Little Inventor Saudi external revenue</t>
  </si>
  <si>
    <t xml:space="preserve">WOO IP external revenue</t>
  </si>
  <si>
    <t xml:space="preserve">Total external revenue</t>
  </si>
  <si>
    <t xml:space="preserve">Site payroll</t>
  </si>
  <si>
    <t xml:space="preserve">Site rent</t>
  </si>
  <si>
    <t xml:space="preserve">Site host revenue share</t>
  </si>
  <si>
    <t xml:space="preserve">Site other fixed cost</t>
  </si>
  <si>
    <t xml:space="preserve">Site variable delivery cost</t>
  </si>
  <si>
    <t xml:space="preserve">Other site IP fees</t>
  </si>
  <si>
    <t xml:space="preserve">Site preopening expense</t>
  </si>
  <si>
    <t xml:space="preserve">Total site operating cost</t>
  </si>
  <si>
    <t xml:space="preserve">Site contribution before management</t>
  </si>
  <si>
    <t xml:space="preserve">TLI external delivery cost</t>
  </si>
  <si>
    <t xml:space="preserve">WOO IP external delivery cost</t>
  </si>
  <si>
    <t xml:space="preserve">Other external IP fees</t>
  </si>
  <si>
    <t xml:space="preserve">TLI local administration</t>
  </si>
  <si>
    <t xml:space="preserve">WOO corporate overhead</t>
  </si>
  <si>
    <t xml:space="preserve">WOO commercial launch expense</t>
  </si>
  <si>
    <t xml:space="preserve">TLI localisation launch expense</t>
  </si>
  <si>
    <t xml:space="preserve">Lead salary, housing and employer costs</t>
  </si>
  <si>
    <t xml:space="preserve">Site and WOO IP incentive provision</t>
  </si>
  <si>
    <t xml:space="preserve">Total operating expenses</t>
  </si>
  <si>
    <t xml:space="preserve">EBITDA before tax</t>
  </si>
  <si>
    <t xml:space="preserve">EBITDA margin</t>
  </si>
  <si>
    <t xml:space="preserve">Depreciation of forward capex</t>
  </si>
  <si>
    <t xml:space="preserve">EBIT before tax and finance</t>
  </si>
  <si>
    <t xml:space="preserve">Forward site capex</t>
  </si>
  <si>
    <t xml:space="preserve">Lease deposits</t>
  </si>
  <si>
    <t xml:space="preserve">Paid site visits</t>
  </si>
  <si>
    <t xml:space="preserve">TLI JV operating profit before tax</t>
  </si>
  <si>
    <t xml:space="preserve">Eligible site and WOO IP profit</t>
  </si>
  <si>
    <t xml:space="preserve">Eligible profit after incentives</t>
  </si>
  <si>
    <t xml:space="preserve">All periods are forecasts. Year 1 starts September 2026; the September opening is not proof of actual trading results.</t>
  </si>
  <si>
    <t xml:space="preserve">This is an operating forecast, not audited financial statements. Income tax, zakat, financing costs and historical asset depreciation are excluded.</t>
  </si>
  <si>
    <t xml:space="preserve">External IP income detail</t>
  </si>
  <si>
    <t xml:space="preserve">School programs</t>
  </si>
  <si>
    <t xml:space="preserve">Corporate and government activations</t>
  </si>
  <si>
    <t xml:space="preserve">Workshops and camps</t>
  </si>
  <si>
    <t xml:space="preserve">Permanent installations</t>
  </si>
  <si>
    <t xml:space="preserve">Digital courses</t>
  </si>
  <si>
    <t xml:space="preserve">Retail products</t>
  </si>
  <si>
    <t xml:space="preserve">Licensing and franchise</t>
  </si>
  <si>
    <t xml:space="preserve">Total external IP revenue</t>
  </si>
  <si>
    <t xml:space="preserve">Operating profit by workstream</t>
  </si>
  <si>
    <t xml:space="preserve">Sites after allocated costs and incentive</t>
  </si>
  <si>
    <t xml:space="preserve">External WOO IPs after costs and incentive</t>
  </si>
  <si>
    <t xml:space="preserve">Combined operating profit before tax</t>
  </si>
  <si>
    <t xml:space="preserve">Party A share of JV operating profit</t>
  </si>
  <si>
    <t xml:space="preserve">Party B share of JV operating profit</t>
  </si>
  <si>
    <t xml:space="preserve">WOO-side attributable operating profit</t>
  </si>
  <si>
    <t xml:space="preserve">Combined results include 100% of the TLI JV. WOO-side attributable profit includes only Party A's 60% JV share.</t>
  </si>
  <si>
    <t xml:space="preserve">WOO three-year financial summary</t>
  </si>
  <si>
    <t xml:space="preserve">Funding planning</t>
  </si>
  <si>
    <t xml:space="preserve">SAR</t>
  </si>
  <si>
    <t xml:space="preserve">Peak monthly cash deficit</t>
  </si>
  <si>
    <t xml:space="preserve">Two-month fixed cost reserve</t>
  </si>
  <si>
    <t xml:space="preserve">Gross capex VAT bridge</t>
  </si>
  <si>
    <t xml:space="preserve">Planning funding envelope</t>
  </si>
  <si>
    <t xml:space="preserve">Operating costs including employment and incentives</t>
  </si>
  <si>
    <t xml:space="preserve">Lead employment cost including employer allowance</t>
  </si>
  <si>
    <t xml:space="preserve">Site and WOO IP incentives accrued</t>
  </si>
  <si>
    <t xml:space="preserve">Cash after modeled JV distributions</t>
  </si>
  <si>
    <t xml:space="preserve">Cumulative cash after external distributions</t>
  </si>
  <si>
    <t xml:space="preserve">Closing trade receivables</t>
  </si>
  <si>
    <t xml:space="preserve">Closing unpaid operating incentives</t>
  </si>
  <si>
    <t xml:space="preserve">Funding envelope is incremental forecast funding capacity, not confirmed investment or a net funding gap after existing cash.</t>
  </si>
  <si>
    <t xml:space="preserve">Existing cash, committed financing, historical spending and approved BOQs were not supplied; none is treated as available cash.</t>
  </si>
  <si>
    <t xml:space="preserve">The VAT bridge is a conservative liquidity allowance on all forward capex, not a calculation of net VAT payable.</t>
  </si>
  <si>
    <t xml:space="preserve">Operating reserve uses peak fixed cost categories. Site figures are planning allowances requiring lease and staffing confirmation.</t>
  </si>
  <si>
    <t xml:space="preserve">Year</t>
  </si>
  <si>
    <t xml:space="preserve">Revenue</t>
  </si>
  <si>
    <t xml:space="preserve">Operations Lead compensation (SAR)</t>
  </si>
  <si>
    <t xml:space="preserve">Basic salary</t>
  </si>
  <si>
    <t xml:space="preserve">Riyadh housing allowance</t>
  </si>
  <si>
    <t xml:space="preserve">Total fixed personal compensation</t>
  </si>
  <si>
    <t xml:space="preserve">Site operating incentive earned</t>
  </si>
  <si>
    <t xml:space="preserve">External WOO IP incentive earned</t>
  </si>
  <si>
    <t xml:space="preserve">Total Lead compensation earned</t>
  </si>
  <si>
    <t xml:space="preserve">Operating incentives paid in cash</t>
  </si>
  <si>
    <t xml:space="preserve">Operations Lead cash received</t>
  </si>
  <si>
    <t xml:space="preserve">TLI JV profit after entered provisions</t>
  </si>
  <si>
    <t xml:space="preserve">Party B 40% share of modeled JV profit</t>
  </si>
  <si>
    <t xml:space="preserve">Party A 60% share of modeled JV profit</t>
  </si>
  <si>
    <t xml:space="preserve">Total modeled JV distribution declared</t>
  </si>
  <si>
    <t xml:space="preserve">Party B 40% modeled distribution</t>
  </si>
  <si>
    <t xml:space="preserve">Party A 60% modeled distribution</t>
  </si>
  <si>
    <t xml:space="preserve">Party B JV distribution cash received</t>
  </si>
  <si>
    <t xml:space="preserve">Party A JV distribution cash received</t>
  </si>
  <si>
    <t xml:space="preserve">WOO attributable operating profit</t>
  </si>
  <si>
    <t xml:space="preserve">Operations Lead compensation and Party B shareholder returns are separate payment capacities. Employer costs are not personal income.</t>
  </si>
  <si>
    <t xml:space="preserve">Year 1 includes 11 paid months from October 2026. Incentives are earned quarterly and paid later; accrued income differs from cash received.</t>
  </si>
  <si>
    <t xml:space="preserve">JV payout is provisionally 50%, cash limited and subject to approval. Final tax/zakat and financing remain to be entered.</t>
  </si>
  <si>
    <t xml:space="preserve">Year-3 distributions and the final incentive quarter are scheduled after August 2029; outstanding amounts remain in the closing balances.</t>
  </si>
  <si>
    <t xml:space="preserve">WOO site opening and revenue drivers</t>
  </si>
  <si>
    <t xml:space="preserve">City</t>
  </si>
  <si>
    <t xml:space="preserve">Model opening</t>
  </si>
  <si>
    <t xml:space="preserve">Include 1 or 0</t>
  </si>
  <si>
    <t xml:space="preserve">Open days per full month</t>
  </si>
  <si>
    <t xml:space="preserve">Visits per open day</t>
  </si>
  <si>
    <t xml:space="preserve">Ticket incl VAT</t>
  </si>
  <si>
    <t xml:space="preserve">Add-on incl VAT</t>
  </si>
  <si>
    <t xml:space="preserve">Group revenue ex VAT</t>
  </si>
  <si>
    <t xml:space="preserve">Other IP fee rate</t>
  </si>
  <si>
    <t xml:space="preserve">Status and timing</t>
  </si>
  <si>
    <t xml:space="preserve">Supplied revenue and seasonal cost drivers below; 15 September opening retained</t>
  </si>
  <si>
    <t xml:space="preserve">Existing venue mobilisation; 15% host share is a proposed assumption</t>
  </si>
  <si>
    <t xml:space="preserve">December 2026 or January 2027; later opening used</t>
  </si>
  <si>
    <t xml:space="preserve">Opening per instruction</t>
  </si>
  <si>
    <t xml:space="preserve">Day assumed as first of December</t>
  </si>
  <si>
    <t xml:space="preserve">Host venue; rent allowance requires commercial confirmation</t>
  </si>
  <si>
    <t xml:space="preserve">15 December 2026 or 1 January 2027; later opening used</t>
  </si>
  <si>
    <t xml:space="preserve">End February interpreted as 28 February 2027</t>
  </si>
  <si>
    <t xml:space="preserve">Under study; excluded from base forecast</t>
  </si>
  <si>
    <t xml:space="preserve">Under study; excluded; JV shares and scope require separate approval</t>
  </si>
  <si>
    <t xml:space="preserve">KAFD and Al Othaim are excluded. Enabling either is a gross-project scenario only; signed scope and JV economics must be entered before a WOO commitment.</t>
  </si>
  <si>
    <t xml:space="preserve">Venue revenue includes activities sold at the venue. External programs below exclude venue ticket, kit and workshop receipts.</t>
  </si>
  <si>
    <t xml:space="preserve">Annual revenue at full operation (SAR excluding VAT)</t>
  </si>
  <si>
    <t xml:space="preserve">Annual base revenue</t>
  </si>
  <si>
    <t xml:space="preserve">Monthly average</t>
  </si>
  <si>
    <t xml:space="preserve">Supplied Saha study</t>
  </si>
  <si>
    <t xml:space="preserve">Existing operating drivers</t>
  </si>
  <si>
    <t xml:space="preserve">User annual target</t>
  </si>
  <si>
    <t xml:space="preserve">Annual targets are base-year full-operation revenue. Launch-year results retain opening-day proration, seasonality and the existing ramp for other sites.</t>
  </si>
  <si>
    <t xml:space="preserve">Targets for Riyadh Park, Esplanade and Roshn are interpreted as annual revenue excluding VAT. Source: user instruction, 30 September 2026.</t>
  </si>
  <si>
    <t xml:space="preserve">Saha Sayyid Al Shuhada supplied forecast</t>
  </si>
  <si>
    <t xml:space="preserve">Assumption</t>
  </si>
  <si>
    <t xml:space="preserve">Source reference</t>
  </si>
  <si>
    <t xml:space="preserve">Annual visitors</t>
  </si>
  <si>
    <t xml:space="preserve">Assumptions C8</t>
  </si>
  <si>
    <t xml:space="preserve">Ticket per visitor</t>
  </si>
  <si>
    <t xml:space="preserve">Assumptions C12</t>
  </si>
  <si>
    <t xml:space="preserve">Cafe per visitor</t>
  </si>
  <si>
    <t xml:space="preserve">Assumptions C13</t>
  </si>
  <si>
    <t xml:space="preserve">Gift shop per visitor</t>
  </si>
  <si>
    <t xml:space="preserve">Assumptions C14</t>
  </si>
  <si>
    <t xml:space="preserve">Workshop per visitor</t>
  </si>
  <si>
    <t xml:space="preserve">Assumptions C15</t>
  </si>
  <si>
    <t xml:space="preserve">Annual sponsorship</t>
  </si>
  <si>
    <t xml:space="preserve">Assumptions C16</t>
  </si>
  <si>
    <t xml:space="preserve">Annual school and group packages</t>
  </si>
  <si>
    <t xml:space="preserve">Assumptions C17</t>
  </si>
  <si>
    <t xml:space="preserve">Annual birthdays and private events</t>
  </si>
  <si>
    <t xml:space="preserve">Assumptions C18</t>
  </si>
  <si>
    <t xml:space="preserve">Annual source revenue</t>
  </si>
  <si>
    <t xml:space="preserve">Annual_PnL B10: 5,381,000</t>
  </si>
  <si>
    <t xml:space="preserve">Source amounts include VAT 1 or 0</t>
  </si>
  <si>
    <t xml:space="preserve">0 assumes net sales; VAT basis not stated in source</t>
  </si>
  <si>
    <t xml:space="preserve">Annual revenue excluding VAT</t>
  </si>
  <si>
    <t xml:space="preserve">Annual revenue growth</t>
  </si>
  <si>
    <t xml:space="preserve">Assumptions C19</t>
  </si>
  <si>
    <t xml:space="preserve">Annual source cost inflation</t>
  </si>
  <si>
    <t xml:space="preserve">Assumptions C22</t>
  </si>
  <si>
    <t xml:space="preserve">Source: ساحة سيد الشهداء.xlsx, selected Base inputs, Seasonality, Staffing_Plan, OPEX_Details and Annual_PnL.</t>
  </si>
  <si>
    <t xml:space="preserve">Use 15 September 2026 opening and the WOO 36-month planning horizon. Source January 2027 start and 30-month cash-flow term are not adopted.</t>
  </si>
  <si>
    <t xml:space="preserve">Saha uses supplied seasonal demand without a second opening ramp. Source revenue is assumed net of VAT; change D54 if prices include VAT.</t>
  </si>
  <si>
    <t xml:space="preserve">Month number</t>
  </si>
  <si>
    <t xml:space="preserve">Month</t>
  </si>
  <si>
    <t xml:space="preserve">Visitor share</t>
  </si>
  <si>
    <t xml:space="preserve">Peak staffing flag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</si>
  <si>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</si>
  <si>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</si>
  <si>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</si>
  <si>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</si>
  <si>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</si>
  <si>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</si>
  <si>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</si>
  <si>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</si>
  <si>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</si>
  <si>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</si>
  <si>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</si>
  <si>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</si>
  <si>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Total</t>
  </si>
  <si>
    <t xml:space="preserve">Saha annual revenue stream</t>
  </si>
  <si>
    <t xml:space="preserve">Full year base SAR</t>
  </si>
  <si>
    <t xml:space="preserve">Tickets</t>
  </si>
  <si>
    <t xml:space="preserve">Cafe</t>
  </si>
  <si>
    <t xml:space="preserve">Gift shop</t>
  </si>
  <si>
    <t xml:space="preserve">Workshops</t>
  </si>
  <si>
    <t xml:space="preserve">Sponsorship</t>
  </si>
  <si>
    <t xml:space="preserve">Schools and groups</t>
  </si>
  <si>
    <t xml:space="preserve">Birthdays and private events</t>
  </si>
  <si>
    <t xml:space="preserve">Total Saha annual revenue</t>
  </si>
  <si>
    <t xml:space="preserve">WOO site staffing and monthly operating costs</t>
  </si>
  <si>
    <t xml:space="preserve">Supervisors</t>
  </si>
  <si>
    <t xml:space="preserve">Facilitators</t>
  </si>
  <si>
    <t xml:space="preserve">Cashiers</t>
  </si>
  <si>
    <t xml:space="preserve">Cleaners</t>
  </si>
  <si>
    <t xml:space="preserve">Loaded payroll</t>
  </si>
  <si>
    <t xml:space="preserve">Monthly rent</t>
  </si>
  <si>
    <t xml:space="preserve">Host share</t>
  </si>
  <si>
    <t xml:space="preserve">Utilities</t>
  </si>
  <si>
    <t xml:space="preserve">Maintenance</t>
  </si>
  <si>
    <t xml:space="preserve">Security</t>
  </si>
  <si>
    <t xml:space="preserve">Insurance</t>
  </si>
  <si>
    <t xml:space="preserve">Site marketing</t>
  </si>
  <si>
    <t xml:space="preserve">Other admin</t>
  </si>
  <si>
    <t xml:space="preserve">Variable cost</t>
  </si>
  <si>
    <t xml:space="preserve">Fixed cost before payroll</t>
  </si>
  <si>
    <t xml:space="preserve">Saha peak payroll</t>
  </si>
  <si>
    <t xml:space="preserve">Saha peak other costs</t>
  </si>
  <si>
    <t xml:space="preserve">Saha base materials</t>
  </si>
  <si>
    <t xml:space="preserve">Saha peak materials</t>
  </si>
  <si>
    <t xml:space="preserve">Roster below</t>
  </si>
  <si>
    <t xml:space="preserve">Staffing uses paid FTE. The operator must validate shift coverage, safeguarding ratios and operating hours before the roster is approved.</t>
  </si>
  <si>
    <t xml:space="preserve">Rent, host shares, salaries and employer allowance are estimates, not signed quotations. Cleaning FTE and security cost have different scopes.</t>
  </si>
  <si>
    <t xml:space="preserve">Saha operating budget from supplied study</t>
  </si>
  <si>
    <t xml:space="preserve">Cost category</t>
  </si>
  <si>
    <t xml:space="preserve">Base month</t>
  </si>
  <si>
    <t xml:space="preserve">Peak uplift</t>
  </si>
  <si>
    <t xml:space="preserve">Peak month</t>
  </si>
  <si>
    <t xml:space="preserve">Full-year cost</t>
  </si>
  <si>
    <t xml:space="preserve">Source</t>
  </si>
  <si>
    <t xml:space="preserve">Staff Payroll</t>
  </si>
  <si>
    <t xml:space="preserve">OPEX_Details row 4</t>
  </si>
  <si>
    <t xml:space="preserve">Security Outsource</t>
  </si>
  <si>
    <t xml:space="preserve">OPEX_Details row 5</t>
  </si>
  <si>
    <t xml:space="preserve">Cleaning Outsource</t>
  </si>
  <si>
    <t xml:space="preserve">OPEX_Details row 6</t>
  </si>
  <si>
    <t xml:space="preserve">OPEX_Details row 7</t>
  </si>
  <si>
    <t xml:space="preserve">Marketing</t>
  </si>
  <si>
    <t xml:space="preserve">OPEX_Details row 8</t>
  </si>
  <si>
    <t xml:space="preserve">OPEX_Details row 9</t>
  </si>
  <si>
    <t xml:space="preserve">Insurance / Permits</t>
  </si>
  <si>
    <t xml:space="preserve">OPEX_Details row 10</t>
  </si>
  <si>
    <t xml:space="preserve">Supplies / Activity Materials</t>
  </si>
  <si>
    <t xml:space="preserve">OPEX_Details row 11</t>
  </si>
  <si>
    <t xml:space="preserve">Admin / POS / Software</t>
  </si>
  <si>
    <t xml:space="preserve">OPEX_Details row 12</t>
  </si>
  <si>
    <t xml:space="preserve">Contingency</t>
  </si>
  <si>
    <t xml:space="preserve">OPEX_Details row 13</t>
  </si>
  <si>
    <t xml:space="preserve">Total source operating costs</t>
  </si>
  <si>
    <t xml:space="preserve">Position</t>
  </si>
  <si>
    <t xml:space="preserve">Base quantity</t>
  </si>
  <si>
    <t xml:space="preserve">Monthly salary</t>
  </si>
  <si>
    <t xml:space="preserve">Base payroll</t>
  </si>
  <si>
    <t xml:space="preserve">Extra peak quantity</t>
  </si>
  <si>
    <t xml:space="preserve">Extra peak payroll</t>
  </si>
  <si>
    <t xml:space="preserve">Project Manager</t>
  </si>
  <si>
    <t xml:space="preserve">Operations Supervisor</t>
  </si>
  <si>
    <t xml:space="preserve">Zone Supervisors</t>
  </si>
  <si>
    <t xml:space="preserve">Activity Guides</t>
  </si>
  <si>
    <t xml:space="preserve">Reception / Ticketing</t>
  </si>
  <si>
    <t xml:space="preserve">Customer Service</t>
  </si>
  <si>
    <t xml:space="preserve">Workshop Facilitators</t>
  </si>
  <si>
    <t xml:space="preserve">Admin / Finance</t>
  </si>
  <si>
    <t xml:space="preserve">Total staff</t>
  </si>
  <si>
    <t xml:space="preserve">Source: ساحة سيد الشهداء.xlsx, OPEX_Details B4:C13 and Staffing_Plan C4:G11. Peak uplift is included once.</t>
  </si>
  <si>
    <t xml:space="preserve">Saha source OPEX is retained. Shared Lead costs and operating incentives are allocated separately; no TLI founder royalty applies.</t>
  </si>
  <si>
    <t xml:space="preserve">Source CAPEX is a total project figure. The consolidated forward-capex allowance is unchanged and is not added to historical investment.</t>
  </si>
  <si>
    <t xml:space="preserve">Site operating forecast by month</t>
  </si>
  <si>
    <t xml:space="preserve">Site ID</t>
  </si>
  <si>
    <t xml:space="preserve">Open fraction</t>
  </si>
  <si>
    <t xml:space="preserve">Managed fraction</t>
  </si>
  <si>
    <t xml:space="preserve">Paid visits</t>
  </si>
  <si>
    <t xml:space="preserve">Admission</t>
  </si>
  <si>
    <t xml:space="preserve">Add-ons</t>
  </si>
  <si>
    <t xml:space="preserve">Groups</t>
  </si>
  <si>
    <t xml:space="preserve">Payroll</t>
  </si>
  <si>
    <t xml:space="preserve">Rent</t>
  </si>
  <si>
    <t xml:space="preserve">Other fixed</t>
  </si>
  <si>
    <t xml:space="preserve">Other IP fees</t>
  </si>
  <si>
    <t xml:space="preserve">Operating cost</t>
  </si>
  <si>
    <t xml:space="preserve">Contribution</t>
  </si>
  <si>
    <t xml:space="preserve">Preopening</t>
  </si>
  <si>
    <t xml:space="preserve">Capex</t>
  </si>
  <si>
    <t xml:space="preserve">Depreciation</t>
  </si>
  <si>
    <t xml:space="preserve">Deposit</t>
  </si>
  <si>
    <t xml:space="preserve">Allocated incentive</t>
  </si>
  <si>
    <t xml:space="preserve">Allocated shared cost</t>
  </si>
  <si>
    <t xml:space="preserve">After shared costs and incentive</t>
  </si>
  <si>
    <t xml:space="preserve">Eligible site profit</t>
  </si>
  <si>
    <t xml:space="preserve">External Little Inventor Saudi and WOO IP programs</t>
  </si>
  <si>
    <t xml:space="preserve">Business</t>
  </si>
  <si>
    <t xml:space="preserve">Channel</t>
  </si>
  <si>
    <t xml:space="preserve">Quantity unit</t>
  </si>
  <si>
    <t xml:space="preserve">Y1 units</t>
  </si>
  <si>
    <t xml:space="preserve">Y2 units</t>
  </si>
  <si>
    <t xml:space="preserve">Y3 units</t>
  </si>
  <si>
    <t xml:space="preserve">Y1 price ex VAT</t>
  </si>
  <si>
    <t xml:space="preserve">Y2 price</t>
  </si>
  <si>
    <t xml:space="preserve">Y3 price</t>
  </si>
  <si>
    <t xml:space="preserve">Y1 direct cost</t>
  </si>
  <si>
    <t xml:space="preserve">Same month collection</t>
  </si>
  <si>
    <t xml:space="preserve">Fee eligible share</t>
  </si>
  <si>
    <t xml:space="preserve">Scope</t>
  </si>
  <si>
    <t xml:space="preserve">Y2 direct cost</t>
  </si>
  <si>
    <t xml:space="preserve">Y3 direct cost</t>
  </si>
  <si>
    <t xml:space="preserve">TLI</t>
  </si>
  <si>
    <t xml:space="preserve">Schools</t>
  </si>
  <si>
    <t xml:space="preserve">school contracts</t>
  </si>
  <si>
    <t xml:space="preserve">Allocated external portfolio sales; venue receipts excluded</t>
  </si>
  <si>
    <t xml:space="preserve">Activations</t>
  </si>
  <si>
    <t xml:space="preserve">paid events</t>
  </si>
  <si>
    <t xml:space="preserve">delivery days</t>
  </si>
  <si>
    <t xml:space="preserve">Installations</t>
  </si>
  <si>
    <t xml:space="preserve">external projects</t>
  </si>
  <si>
    <t xml:space="preserve">Digital</t>
  </si>
  <si>
    <t xml:space="preserve">paid sales</t>
  </si>
  <si>
    <t xml:space="preserve">Retail</t>
  </si>
  <si>
    <t xml:space="preserve">locally made units</t>
  </si>
  <si>
    <t xml:space="preserve">Licensing</t>
  </si>
  <si>
    <t xml:space="preserve">external licences</t>
  </si>
  <si>
    <t xml:space="preserve">WOO IP</t>
  </si>
  <si>
    <t xml:space="preserve">external units</t>
  </si>
  <si>
    <t xml:space="preserve">Portfolio volumes and prices are restored from the original three-year study. The editable source drivers appear below.</t>
  </si>
  <si>
    <t xml:space="preserve">Core TLI rights and support are included in the 60/40 JV. No separate founder royalty is charged.</t>
  </si>
  <si>
    <t xml:space="preserve">Only separately authorised third-party IP fees may be entered in the fee-rate column; current assumptions are zero.</t>
  </si>
  <si>
    <t xml:space="preserve">TLI share of external IP sales</t>
  </si>
  <si>
    <t xml:space="preserve">Year 1 revenue</t>
  </si>
  <si>
    <t xml:space="preserve">Year 2 revenue</t>
  </si>
  <si>
    <t xml:space="preserve">Year 3 revenue</t>
  </si>
  <si>
    <t xml:space="preserve">Total original external IP revenue</t>
  </si>
  <si>
    <t xml:space="preserve">Source: WOO_12_Month_Action_Plan_and_3_Year_Financial_Study(1).xlsx, Assumptions C36:E57 and Financial Model C8:E15.</t>
  </si>
  <si>
    <t xml:space="preserve">Original annual channel totals are restored. Scenario volume and price multipliers are applied in Program Monthly.</t>
  </si>
  <si>
    <t xml:space="preserve">TLI allocation is 35%, 40% and 45% by year. Allocated units split each portfolio total; they are not additional contracts.</t>
  </si>
  <si>
    <t xml:space="preserve">External channels exclude sales already recorded at WOO venues, including Saha schools, workshops and gift-shop sales.</t>
  </si>
  <si>
    <t xml:space="preserve">External program revenue delivery and collections</t>
  </si>
  <si>
    <t xml:space="preserve">Delivery units</t>
  </si>
  <si>
    <t xml:space="preserve">Delivery cost</t>
  </si>
  <si>
    <t xml:space="preserve">Current collection</t>
  </si>
  <si>
    <t xml:space="preserve">Collections</t>
  </si>
  <si>
    <t xml:space="preserve">Collected fee basis</t>
  </si>
  <si>
    <t xml:space="preserve">Supplier payments</t>
  </si>
  <si>
    <t xml:space="preserve">Salary, cost allocation and separate operating incentives</t>
  </si>
  <si>
    <t xml:space="preserve">Employment fraction</t>
  </si>
  <si>
    <t xml:space="preserve">Housing</t>
  </si>
  <si>
    <t xml:space="preserve">Fixed pay</t>
  </si>
  <si>
    <t xml:space="preserve">Employer costs</t>
  </si>
  <si>
    <t xml:space="preserve">Total Lead cost</t>
  </si>
  <si>
    <t xml:space="preserve">Sites allocation</t>
  </si>
  <si>
    <t xml:space="preserve">WOO IP allocation</t>
  </si>
  <si>
    <t xml:space="preserve">TLI JV allocation</t>
  </si>
  <si>
    <t xml:space="preserve">Site overhead</t>
  </si>
  <si>
    <t xml:space="preserve">WOO IP overhead</t>
  </si>
  <si>
    <t xml:space="preserve">Site eligible profit</t>
  </si>
  <si>
    <t xml:space="preserve">WOO IP eligible profit</t>
  </si>
  <si>
    <t xml:space="preserve">Site incentive</t>
  </si>
  <si>
    <t xml:space="preserve">WOO IP incentive</t>
  </si>
  <si>
    <t xml:space="preserve">Total provision</t>
  </si>
  <si>
    <t xml:space="preserve">Incentive cash paid</t>
  </si>
  <si>
    <t xml:space="preserve">YTD site profit</t>
  </si>
  <si>
    <t xml:space="preserve">Site score</t>
  </si>
  <si>
    <t xml:space="preserve">Site entitlement</t>
  </si>
  <si>
    <t xml:space="preserve">Site provision</t>
  </si>
  <si>
    <t xml:space="preserve">YTD WOO IP profit</t>
  </si>
  <si>
    <t xml:space="preserve">WOO IP score</t>
  </si>
  <si>
    <t xml:space="preserve">IP profit achievement</t>
  </si>
  <si>
    <t xml:space="preserve">WOO IP rate</t>
  </si>
  <si>
    <t xml:space="preserve">WOO IP entitlement</t>
  </si>
  <si>
    <t xml:space="preserve">WOO IP provision</t>
  </si>
  <si>
    <t xml:space="preserve">Quarter end</t>
  </si>
  <si>
    <t xml:space="preserve">Site cumulative</t>
  </si>
  <si>
    <t xml:space="preserve">Site prior quarter</t>
  </si>
  <si>
    <t xml:space="preserve">Site quarter amount</t>
  </si>
  <si>
    <t xml:space="preserve">WOO IP cumulative</t>
  </si>
  <si>
    <t xml:space="preserve">WOO IP prior quarter</t>
  </si>
  <si>
    <t xml:space="preserve">WOO IP quarter amount</t>
  </si>
  <si>
    <t xml:space="preserve">Report submitted</t>
  </si>
  <si>
    <t xml:space="preserve">Review by</t>
  </si>
  <si>
    <t xml:space="preserve">Pay by</t>
  </si>
  <si>
    <t xml:space="preserve">Forecast settlement</t>
  </si>
  <si>
    <t xml:space="preserve">Salary and housing are paid monthly from the appointment date. The 18% employer-cost allowance is an estimate on basic salary only.</t>
  </si>
  <si>
    <t xml:space="preserve">Each profit pool deducts its allocated costs once. TLI JV profit and activity already recorded at venues do not enter the external IP incentive.</t>
  </si>
  <si>
    <t xml:space="preserve">Scores and IP profit achievement are forecast inputs. They are not actual results or signed numerical targets.</t>
  </si>
  <si>
    <t xml:space="preserve">Quarterly dates use a Sunday-to-Thursday week; add applicable public holidays when setting the actual payment calendar.</t>
  </si>
  <si>
    <t xml:space="preserve">Negative provisional adjustments require documented reconciliation. They do not authorise deductions from fixed salary.</t>
  </si>
  <si>
    <t xml:space="preserve">Only disputed or proven affected safety amounts may be held; undisputed amounts remain payable. No blanket collection or safety gate applies.</t>
  </si>
  <si>
    <t xml:space="preserve">Results before the employment start are excluded from incentives. The final quarter is accrued but paid after the forecast horizon.</t>
  </si>
  <si>
    <t xml:space="preserve">WOO cash collections and funding forecast</t>
  </si>
  <si>
    <t xml:space="preserve">Site customer collections</t>
  </si>
  <si>
    <t xml:space="preserve">TLI external customer collections</t>
  </si>
  <si>
    <t xml:space="preserve">WOO IP external customer collections</t>
  </si>
  <si>
    <t xml:space="preserve">Total customer collections</t>
  </si>
  <si>
    <t xml:space="preserve">Site payroll paid</t>
  </si>
  <si>
    <t xml:space="preserve">Site rent paid</t>
  </si>
  <si>
    <t xml:space="preserve">Host revenue share paid</t>
  </si>
  <si>
    <t xml:space="preserve">Site other fixed cost paid</t>
  </si>
  <si>
    <t xml:space="preserve">Site variable suppliers paid</t>
  </si>
  <si>
    <t xml:space="preserve">Site preopening paid</t>
  </si>
  <si>
    <t xml:space="preserve">External program suppliers paid</t>
  </si>
  <si>
    <t xml:space="preserve">TLI local administration paid</t>
  </si>
  <si>
    <t xml:space="preserve">WOO overhead paid</t>
  </si>
  <si>
    <t xml:space="preserve">TLI and WOO launch paid</t>
  </si>
  <si>
    <t xml:space="preserve">Lead salary, housing and employer costs paid</t>
  </si>
  <si>
    <t xml:space="preserve">Site and WOO IP incentives paid</t>
  </si>
  <si>
    <t xml:space="preserve">Other authorised IP fees paid</t>
  </si>
  <si>
    <t xml:space="preserve">Total operating cash outflow</t>
  </si>
  <si>
    <t xml:space="preserve">Operating cash before tax and VAT</t>
  </si>
  <si>
    <t xml:space="preserve">Capex paid</t>
  </si>
  <si>
    <t xml:space="preserve">Lease deposits paid</t>
  </si>
  <si>
    <t xml:space="preserve">Net cash before financing tax and VAT</t>
  </si>
  <si>
    <t xml:space="preserve">Cumulative cash before financing</t>
  </si>
  <si>
    <t xml:space="preserve">Closing direct supplier payables</t>
  </si>
  <si>
    <t xml:space="preserve">Closing incentive accrual</t>
  </si>
  <si>
    <t xml:space="preserve">Closing other IP fee payable</t>
  </si>
  <si>
    <t xml:space="preserve">Modeled JV distributions declared</t>
  </si>
  <si>
    <t xml:space="preserve">Party A internal JV distribution cash</t>
  </si>
  <si>
    <t xml:space="preserve">Party B external JV distribution cash</t>
  </si>
  <si>
    <t xml:space="preserve">Cash after JV provisions and external distributions</t>
  </si>
  <si>
    <t xml:space="preserve">JV modeled distributions awaiting payment</t>
  </si>
  <si>
    <t xml:space="preserve">JV closing cash before financing</t>
  </si>
  <si>
    <t xml:space="preserve">Capex VAT timing allowance</t>
  </si>
  <si>
    <t xml:space="preserve">Entered JV tax and finance payments</t>
  </si>
  <si>
    <t xml:space="preserve">Core operating cash excludes general tax, financing and VAT settlements. Entered JV provisions and external dividends are shown separately.</t>
  </si>
  <si>
    <t xml:space="preserve">Party A's JV cash is internal to the combined portfolio. Only Party B's distribution reduces combined cash; no royalty recovery gate remains.</t>
  </si>
  <si>
    <t xml:space="preserve">Little Inventor Saudi joint venture</t>
  </si>
  <si>
    <t xml:space="preserve">External TLI revenue</t>
  </si>
  <si>
    <t xml:space="preserve">External delivery cost</t>
  </si>
  <si>
    <t xml:space="preserve">Other authorised IP fees</t>
  </si>
  <si>
    <t xml:space="preserve">Local administration</t>
  </si>
  <si>
    <t xml:space="preserve">Localisation launch expense</t>
  </si>
  <si>
    <t xml:space="preserve">Allocated Lead employment cost</t>
  </si>
  <si>
    <t xml:space="preserve">Total operating costs</t>
  </si>
  <si>
    <t xml:space="preserve">Operating profit before tax</t>
  </si>
  <si>
    <t xml:space="preserve">Entered tax and finance provision</t>
  </si>
  <si>
    <t xml:space="preserve">Profit after entered provisions</t>
  </si>
  <si>
    <t xml:space="preserve">Party A 60% share of modeled profit</t>
  </si>
  <si>
    <t xml:space="preserve">Party B 40% share of modeled profit</t>
  </si>
  <si>
    <t xml:space="preserve">Customer collections</t>
  </si>
  <si>
    <t xml:space="preserve">Direct suppliers paid</t>
  </si>
  <si>
    <t xml:space="preserve">Other operating costs paid</t>
  </si>
  <si>
    <t xml:space="preserve">Entered tax and finance payments</t>
  </si>
  <si>
    <t xml:space="preserve">Net operating cash after provisions</t>
  </si>
  <si>
    <t xml:space="preserve">Cumulative cash before distributions</t>
  </si>
  <si>
    <t xml:space="preserve">Opening retained modeled profit</t>
  </si>
  <si>
    <t xml:space="preserve">Current modeled profit</t>
  </si>
  <si>
    <t xml:space="preserve">Modeled distribution declared</t>
  </si>
  <si>
    <t xml:space="preserve">Closing retained modeled profit</t>
  </si>
  <si>
    <t xml:space="preserve">Opening cash after distributions</t>
  </si>
  <si>
    <t xml:space="preserve">Cash reserve for payout planning</t>
  </si>
  <si>
    <t xml:space="preserve">Modeled distributions paid</t>
  </si>
  <si>
    <t xml:space="preserve">Closing cash before financing</t>
  </si>
  <si>
    <t xml:space="preserve">Modeled distributions awaiting payment</t>
  </si>
  <si>
    <t xml:space="preserve">Distribution payment month</t>
  </si>
  <si>
    <t xml:space="preserve">Party A distribution declared</t>
  </si>
  <si>
    <t xml:space="preserve">Party B distribution declared</t>
  </si>
  <si>
    <t xml:space="preserve">Party A distribution cash</t>
  </si>
  <si>
    <t xml:space="preserve">Party B distribution cash</t>
  </si>
  <si>
    <t xml:space="preserve">Cash available for new distribution</t>
  </si>
  <si>
    <t xml:space="preserve">Payout is modeled at 50% of positive retained profit, limited by cash after a two-month reserve. Approval remains separate.</t>
  </si>
  <si>
    <t xml:space="preserve">Capital and financing are not supplied. Enter final tax/zakat and finance provisions before adopting distributable profit.</t>
  </si>
  <si>
    <t xml:space="preserve">Year-3 modeled distributions fall outside this cash horizon; the unpaid balance remains visible. Core TLI IP has no extra royalty.</t>
  </si>
</sst>
</file>

<file path=xl/styles.xml><?xml version="1.0" encoding="utf-8"?>
<styleSheet xmlns="http://schemas.openxmlformats.org/spreadsheetml/2006/main">
  <numFmts count="21">
    <numFmt numFmtId="164" formatCode="General"/>
    <numFmt numFmtId="165" formatCode="#,##0;\(#,##0\);\-"/>
    <numFmt numFmtId="166" formatCode="0.00%"/>
    <numFmt numFmtId="167" formatCode="0.00\x"/>
    <numFmt numFmtId="168" formatCode="0.0%"/>
    <numFmt numFmtId="169" formatCode="0.0%;[RED]\(0.0%\);\—"/>
    <numFmt numFmtId="170" formatCode="#,##0"/>
    <numFmt numFmtId="171" formatCode="0.00"/>
    <numFmt numFmtId="172" formatCode="dd\ mmm\ yyyy"/>
    <numFmt numFmtId="173" formatCode="#,##0;[RED]\(#,##0\);\—"/>
    <numFmt numFmtId="174" formatCode="0.0"/>
    <numFmt numFmtId="175" formatCode="mmm\ yyyy"/>
    <numFmt numFmtId="176" formatCode="0.0\x"/>
    <numFmt numFmtId="177" formatCode="0"/>
    <numFmt numFmtId="178" formatCode="yyyy\-mm\-dd"/>
    <numFmt numFmtId="179" formatCode="dd\-mmm\-yyyy"/>
    <numFmt numFmtId="180" formatCode="0.00\x"/>
    <numFmt numFmtId="181" formatCode="0.000\x"/>
    <numFmt numFmtId="182" formatCode="0.0%;\(0.0%\);\-"/>
    <numFmt numFmtId="183" formatCode="mmm\-yy"/>
    <numFmt numFmtId="184" formatCode="dd\-mmm\-yy"/>
  </numFmts>
  <fonts count="6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21"/>
      <color rgb="FF093B49"/>
      <name val="DIN Next LT Arabic Medium"/>
      <family val="0"/>
      <charset val="1"/>
    </font>
    <font>
      <sz val="11"/>
      <color rgb="FFFFFFFF"/>
      <name val="DIN Next LT Arabic Medium"/>
      <family val="0"/>
      <charset val="1"/>
    </font>
    <font>
      <sz val="11"/>
      <color rgb="FF183640"/>
      <name val="DIN Next LT Arabic Light"/>
      <family val="0"/>
      <charset val="1"/>
    </font>
    <font>
      <sz val="11"/>
      <name val="Noto Sans"/>
      <family val="2"/>
    </font>
    <font>
      <sz val="11"/>
      <color rgb="FF172E39"/>
      <name val="Cairo"/>
      <family val="0"/>
      <charset val="1"/>
    </font>
    <font>
      <b val="true"/>
      <sz val="16"/>
      <color rgb="FF083B4A"/>
      <name val="DIN Next LT Arabic Medium"/>
      <family val="0"/>
      <charset val="1"/>
    </font>
    <font>
      <sz val="11"/>
      <color rgb="FF172E39"/>
      <name val="DIN Next LT Arabic Light"/>
      <family val="0"/>
      <charset val="1"/>
    </font>
    <font>
      <sz val="11"/>
      <color rgb="FF197047"/>
      <name val="DIN Next LT Arabic Light"/>
      <family val="0"/>
      <charset val="1"/>
    </font>
    <font>
      <b val="true"/>
      <sz val="11"/>
      <color rgb="FFFFFFFF"/>
      <name val="DIN Next LT Arabic Medium"/>
      <family val="0"/>
      <charset val="1"/>
    </font>
    <font>
      <sz val="10"/>
      <color rgb="FF172E39"/>
      <name val="DIN Next LT Arabic Light"/>
      <family val="0"/>
      <charset val="1"/>
    </font>
    <font>
      <b val="true"/>
      <sz val="9.75"/>
      <color rgb="FF000000"/>
      <name val="Cairo"/>
      <family val="2"/>
    </font>
    <font>
      <sz val="8.25"/>
      <color rgb="FF000000"/>
      <name val="Cairo"/>
      <family val="2"/>
    </font>
    <font>
      <sz val="11"/>
      <color rgb="FF165FCC"/>
      <name val="DIN Next LT Arabic Light"/>
      <family val="0"/>
      <charset val="1"/>
    </font>
    <font>
      <sz val="11"/>
      <color rgb="FF12669A"/>
      <name val="DIN Next LT Arabic Light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6"/>
      <color rgb="FF083B4A"/>
      <name val="Cairo"/>
      <family val="0"/>
      <charset val="1"/>
    </font>
    <font>
      <b val="true"/>
      <sz val="11"/>
      <color rgb="FFFFFFFF"/>
      <name val="Cairo"/>
      <family val="0"/>
      <charset val="1"/>
    </font>
    <font>
      <sz val="11"/>
      <color rgb="FF165FCC"/>
      <name val="Cairo"/>
      <family val="0"/>
      <charset val="1"/>
    </font>
    <font>
      <sz val="10"/>
      <color rgb="FF2D183C"/>
      <name val="Arial"/>
      <family val="0"/>
      <charset val="1"/>
    </font>
    <font>
      <b val="true"/>
      <sz val="15"/>
      <color rgb="FF552D82"/>
      <name val="Arial"/>
      <family val="0"/>
      <charset val="1"/>
    </font>
    <font>
      <sz val="10"/>
      <color rgb="FF18724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68B5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10"/>
      <color rgb="FF2D183C"/>
      <name val="Arial"/>
      <family val="0"/>
      <charset val="1"/>
    </font>
    <font>
      <b val="true"/>
      <sz val="10"/>
      <color rgb="FF20202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382747"/>
      <name val="Arial"/>
      <family val="0"/>
      <charset val="1"/>
    </font>
    <font>
      <sz val="10"/>
      <name val="Arial"/>
      <family val="0"/>
      <charset val="1"/>
    </font>
    <font>
      <sz val="10"/>
      <color rgb="FF008CD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202020"/>
      <name val="Arial"/>
      <family val="0"/>
      <charset val="1"/>
    </font>
    <font>
      <sz val="10"/>
      <color rgb="FF17834E"/>
      <name val="Arial"/>
      <family val="0"/>
      <charset val="1"/>
    </font>
    <font>
      <b val="true"/>
      <sz val="10"/>
      <color rgb="FF17834E"/>
      <name val="Arial"/>
      <family val="0"/>
      <charset val="1"/>
    </font>
    <font>
      <sz val="11"/>
      <color rgb="FF000000"/>
      <name val="Calibri"/>
      <family val="0"/>
      <charset val="1"/>
    </font>
    <font>
      <sz val="11"/>
      <color rgb="FF17834E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sz val="11"/>
      <color rgb="FF2D183C"/>
      <name val="Calibri"/>
      <family val="0"/>
      <charset val="1"/>
    </font>
    <font>
      <b val="true"/>
      <sz val="15"/>
      <color rgb="FF2D183C"/>
      <name val="Arial"/>
      <family val="0"/>
      <charset val="1"/>
    </font>
    <font>
      <sz val="10"/>
      <color rgb="FF382747"/>
      <name val="Arial"/>
      <family val="0"/>
      <charset val="1"/>
    </font>
    <font>
      <b val="true"/>
      <sz val="10"/>
      <color rgb="FF382747"/>
      <name val="Arial"/>
      <family val="0"/>
      <charset val="1"/>
    </font>
    <font>
      <i val="true"/>
      <sz val="10"/>
      <color rgb="FF2D183C"/>
      <name val="Arial"/>
      <family val="0"/>
      <charset val="1"/>
    </font>
    <font>
      <sz val="11"/>
      <color rgb="FF382747"/>
      <name val="Calibri"/>
      <family val="0"/>
      <charset val="1"/>
    </font>
    <font>
      <b val="true"/>
      <sz val="11"/>
      <color rgb="FF2D183C"/>
      <name val="Calibri"/>
      <family val="0"/>
      <charset val="1"/>
    </font>
    <font>
      <b val="true"/>
      <sz val="11"/>
      <color rgb="FF382747"/>
      <name val="Calibri"/>
      <family val="0"/>
      <charset val="1"/>
    </font>
    <font>
      <b val="true"/>
      <sz val="13"/>
      <color rgb="FF552D82"/>
      <name val="Arial"/>
      <family val="0"/>
      <charset val="1"/>
    </font>
    <font>
      <b val="true"/>
      <sz val="10"/>
      <color rgb="FF187249"/>
      <name val="Arial"/>
      <family val="0"/>
      <charset val="1"/>
    </font>
    <font>
      <sz val="11"/>
      <color rgb="FF202020"/>
      <name val="Calibri"/>
      <family val="0"/>
      <charset val="1"/>
    </font>
    <font>
      <i val="true"/>
      <sz val="10"/>
      <color rgb="FF000000"/>
      <name val="Arial"/>
      <family val="0"/>
      <charset val="1"/>
    </font>
    <font>
      <b val="true"/>
      <i val="true"/>
      <sz val="10"/>
      <color rgb="FFFFFFFF"/>
      <name val="Arial"/>
      <family val="0"/>
      <charset val="1"/>
    </font>
    <font>
      <b val="true"/>
      <sz val="14"/>
      <color rgb="FF582D82"/>
      <name val="Arial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093B49"/>
        <bgColor rgb="FF083B4A"/>
      </patternFill>
    </fill>
    <fill>
      <patternFill patternType="solid">
        <fgColor rgb="FFF0F5F5"/>
        <bgColor rgb="FFE8F4FB"/>
      </patternFill>
    </fill>
    <fill>
      <patternFill patternType="solid">
        <fgColor rgb="FFFFFFFF"/>
        <bgColor rgb="FFF0F5F5"/>
      </patternFill>
    </fill>
    <fill>
      <patternFill patternType="solid">
        <fgColor rgb="FF083B4A"/>
        <bgColor rgb="FF093B49"/>
      </patternFill>
    </fill>
    <fill>
      <patternFill patternType="solid">
        <fgColor rgb="FFFFF0B8"/>
        <bgColor rgb="FFFFF6DC"/>
      </patternFill>
    </fill>
    <fill>
      <patternFill patternType="solid">
        <fgColor rgb="FFE8F4FB"/>
        <bgColor rgb="FFF0F5F5"/>
      </patternFill>
    </fill>
    <fill>
      <patternFill patternType="solid">
        <fgColor rgb="FF552D82"/>
        <bgColor rgb="FF582D82"/>
      </patternFill>
    </fill>
    <fill>
      <patternFill patternType="solid">
        <fgColor rgb="FFFFF6DC"/>
        <bgColor rgb="FFF0F5F5"/>
      </patternFill>
    </fill>
    <fill>
      <patternFill patternType="solid">
        <fgColor rgb="FFF0EAF6"/>
        <bgColor rgb="FFF0E9F5"/>
      </patternFill>
    </fill>
    <fill>
      <patternFill patternType="solid">
        <fgColor rgb="FF582D82"/>
        <bgColor rgb="FF552D82"/>
      </patternFill>
    </fill>
    <fill>
      <patternFill patternType="solid">
        <fgColor rgb="FFF0E9F5"/>
        <bgColor rgb="FFF0EAF6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F29633"/>
      </bottom>
      <diagonal/>
    </border>
    <border diagonalUp="false" diagonalDown="false">
      <left/>
      <right/>
      <top style="thin">
        <color rgb="FF552D82"/>
      </top>
      <bottom/>
      <diagonal/>
    </border>
    <border diagonalUp="false" diagonalDown="false">
      <left/>
      <right/>
      <top style="thin">
        <color rgb="FF582D82"/>
      </top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3" borderId="0" xfId="2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4" borderId="0" xfId="2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20" applyFont="true" applyBorder="false" applyAlignment="true" applyProtection="false">
      <alignment horizontal="general" vertical="bottom" textRotation="0" wrapText="false" indent="0" shrinkToFit="false" readingOrder="2"/>
      <protection locked="true" hidden="false"/>
    </xf>
    <xf numFmtId="164" fontId="9" fillId="0" borderId="0" xfId="2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64" fontId="10" fillId="0" borderId="0" xfId="20" applyFont="true" applyBorder="true" applyAlignment="true" applyProtection="false">
      <alignment horizontal="general" vertical="center" textRotation="0" wrapText="false" indent="0" shrinkToFit="false" readingOrder="2"/>
      <protection locked="true" hidden="false"/>
    </xf>
    <xf numFmtId="164" fontId="11" fillId="0" borderId="0" xfId="2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64" fontId="12" fillId="0" borderId="0" xfId="2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64" fontId="13" fillId="5" borderId="0" xfId="2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65" fontId="13" fillId="5" borderId="0" xfId="2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65" fontId="11" fillId="0" borderId="0" xfId="2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66" fontId="11" fillId="0" borderId="0" xfId="2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65" fontId="9" fillId="0" borderId="0" xfId="2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65" fontId="14" fillId="0" borderId="0" xfId="2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64" fontId="13" fillId="5" borderId="0" xfId="20" applyFont="true" applyBorder="false" applyAlignment="true" applyProtection="false">
      <alignment horizontal="general" vertical="center" textRotation="0" wrapText="true" indent="0" shrinkToFit="false" readingOrder="2"/>
      <protection locked="true" hidden="false"/>
    </xf>
    <xf numFmtId="165" fontId="13" fillId="5" borderId="0" xfId="20" applyFont="true" applyBorder="false" applyAlignment="true" applyProtection="false">
      <alignment horizontal="general" vertical="center" textRotation="0" wrapText="true" indent="0" shrinkToFit="false" readingOrder="2"/>
      <protection locked="true" hidden="false"/>
    </xf>
    <xf numFmtId="167" fontId="11" fillId="0" borderId="0" xfId="2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68" fontId="11" fillId="0" borderId="0" xfId="2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69" fontId="11" fillId="0" borderId="0" xfId="2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64" fontId="11" fillId="0" borderId="0" xfId="20" applyFont="true" applyBorder="true" applyAlignment="true" applyProtection="false">
      <alignment horizontal="general" vertical="center" textRotation="0" wrapText="true" indent="0" shrinkToFit="false" readingOrder="2"/>
      <protection locked="true" hidden="false"/>
    </xf>
    <xf numFmtId="164" fontId="11" fillId="6" borderId="0" xfId="2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71" fontId="17" fillId="0" borderId="0" xfId="2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65" fontId="17" fillId="0" borderId="0" xfId="2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66" fontId="17" fillId="0" borderId="0" xfId="2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68" fontId="17" fillId="0" borderId="0" xfId="2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65" fontId="11" fillId="7" borderId="0" xfId="2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72" fontId="18" fillId="7" borderId="0" xfId="2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9" fontId="18" fillId="7" borderId="0" xfId="2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73" fontId="7" fillId="3" borderId="0" xfId="2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73" fontId="7" fillId="4" borderId="0" xfId="2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9" fontId="7" fillId="4" borderId="0" xfId="2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72" fontId="7" fillId="4" borderId="0" xfId="2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72" fontId="7" fillId="3" borderId="0" xfId="2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73" fontId="18" fillId="7" borderId="0" xfId="2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4" borderId="0" xfId="2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3" borderId="0" xfId="2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4" fontId="7" fillId="3" borderId="0" xfId="2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8" fillId="7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7" fillId="4" borderId="0" xfId="2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7" fillId="3" borderId="0" xfId="2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75" fontId="7" fillId="4" borderId="0" xfId="2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3" borderId="0" xfId="2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76" fontId="7" fillId="3" borderId="0" xfId="2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7" fillId="3" borderId="0" xfId="2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76" fontId="7" fillId="4" borderId="0" xfId="2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7" fillId="4" borderId="0" xfId="2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71" fontId="12" fillId="0" borderId="0" xfId="2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64" fontId="9" fillId="0" borderId="0" xfId="20" applyFont="true" applyBorder="false" applyAlignment="true" applyProtection="false">
      <alignment horizontal="general" vertical="center" textRotation="0" wrapText="true" indent="0" shrinkToFit="false" readingOrder="2"/>
      <protection locked="true" hidden="false"/>
    </xf>
    <xf numFmtId="164" fontId="11" fillId="0" borderId="0" xfId="20" applyFont="true" applyBorder="false" applyAlignment="true" applyProtection="false">
      <alignment horizontal="general" vertical="center" textRotation="0" wrapText="true" indent="0" shrinkToFit="false" readingOrder="2"/>
      <protection locked="true" hidden="false"/>
    </xf>
    <xf numFmtId="165" fontId="11" fillId="0" borderId="0" xfId="20" applyFont="true" applyBorder="false" applyAlignment="true" applyProtection="false">
      <alignment horizontal="general" vertical="center" textRotation="0" wrapText="true" indent="0" shrinkToFit="false" readingOrder="2"/>
      <protection locked="true" hidden="false"/>
    </xf>
    <xf numFmtId="165" fontId="17" fillId="0" borderId="0" xfId="20" applyFont="true" applyBorder="false" applyAlignment="true" applyProtection="false">
      <alignment horizontal="general" vertical="center" textRotation="0" wrapText="true" indent="0" shrinkToFit="false" readingOrder="2"/>
      <protection locked="true" hidden="false"/>
    </xf>
    <xf numFmtId="165" fontId="9" fillId="0" borderId="0" xfId="20" applyFont="true" applyBorder="false" applyAlignment="true" applyProtection="false">
      <alignment horizontal="general" vertical="center" textRotation="0" wrapText="true" indent="0" shrinkToFit="false" readingOrder="2"/>
      <protection locked="true" hidden="false"/>
    </xf>
    <xf numFmtId="168" fontId="11" fillId="0" borderId="0" xfId="20" applyFont="true" applyBorder="false" applyAlignment="true" applyProtection="false">
      <alignment horizontal="general" vertical="center" textRotation="0" wrapText="true" indent="0" shrinkToFit="false" readingOrder="2"/>
      <protection locked="true" hidden="false"/>
    </xf>
    <xf numFmtId="164" fontId="22" fillId="0" borderId="0" xfId="20" applyFont="true" applyBorder="true" applyAlignment="true" applyProtection="false">
      <alignment horizontal="general" vertical="center" textRotation="0" wrapText="false" indent="0" shrinkToFit="false" readingOrder="2"/>
      <protection locked="true" hidden="false"/>
    </xf>
    <xf numFmtId="164" fontId="23" fillId="5" borderId="0" xfId="2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65" fontId="23" fillId="5" borderId="0" xfId="2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65" fontId="24" fillId="0" borderId="0" xfId="2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68" fontId="24" fillId="0" borderId="0" xfId="2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77" fontId="23" fillId="5" borderId="0" xfId="2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64" fontId="9" fillId="0" borderId="0" xfId="20" applyFont="true" applyBorder="true" applyAlignment="true" applyProtection="false">
      <alignment horizontal="general" vertical="center" textRotation="0" wrapText="true" indent="0" shrinkToFit="false" readingOrder="2"/>
      <protection locked="true" hidden="false"/>
    </xf>
    <xf numFmtId="165" fontId="12" fillId="0" borderId="0" xfId="2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68" fontId="12" fillId="0" borderId="0" xfId="2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64" fontId="23" fillId="5" borderId="0" xfId="20" applyFont="true" applyBorder="false" applyAlignment="true" applyProtection="false">
      <alignment horizontal="general" vertical="center" textRotation="0" wrapText="true" indent="0" shrinkToFit="false" readingOrder="2"/>
      <protection locked="true" hidden="false"/>
    </xf>
    <xf numFmtId="165" fontId="23" fillId="5" borderId="0" xfId="20" applyFont="true" applyBorder="false" applyAlignment="true" applyProtection="false">
      <alignment horizontal="general" vertical="center" textRotation="0" wrapText="true" indent="0" shrinkToFit="false" readingOrder="2"/>
      <protection locked="true" hidden="false"/>
    </xf>
    <xf numFmtId="178" fontId="9" fillId="0" borderId="0" xfId="20" applyFont="true" applyBorder="false" applyAlignment="true" applyProtection="false">
      <alignment horizontal="general" vertical="center" textRotation="0" wrapText="true" indent="0" shrinkToFit="false" readingOrder="2"/>
      <protection locked="true" hidden="false"/>
    </xf>
    <xf numFmtId="168" fontId="9" fillId="0" borderId="0" xfId="20" applyFont="true" applyBorder="false" applyAlignment="true" applyProtection="false">
      <alignment horizontal="general" vertical="center" textRotation="0" wrapText="true" indent="0" shrinkToFit="false" readingOrder="2"/>
      <protection locked="true" hidden="false"/>
    </xf>
    <xf numFmtId="165" fontId="24" fillId="0" borderId="0" xfId="20" applyFont="true" applyBorder="false" applyAlignment="true" applyProtection="false">
      <alignment horizontal="general" vertical="center" textRotation="0" wrapText="true" indent="0" shrinkToFit="false" readingOrder="2"/>
      <protection locked="true" hidden="false"/>
    </xf>
    <xf numFmtId="168" fontId="24" fillId="0" borderId="0" xfId="20" applyFont="true" applyBorder="false" applyAlignment="true" applyProtection="false">
      <alignment horizontal="general" vertical="center" textRotation="0" wrapText="true" indent="0" shrinkToFit="false" readingOrder="2"/>
      <protection locked="true" hidden="false"/>
    </xf>
    <xf numFmtId="164" fontId="2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8" fillId="8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29" fillId="9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2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9" fontId="2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0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9" fillId="9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28" fillId="8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1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0" fontId="32" fillId="1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0" fontId="29" fillId="9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1" fontId="29" fillId="9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2" fontId="29" fillId="9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2" fontId="33" fillId="9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7" fontId="29" fillId="9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9" fontId="29" fillId="9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32" fillId="1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29" fillId="9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4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8" fillId="11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2" fontId="36" fillId="9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2" fontId="33" fillId="9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33" fillId="9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36" fillId="9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36" fillId="9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4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2" fontId="3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7" fillId="12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2" fontId="38" fillId="12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3" fontId="28" fillId="8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31" fillId="1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0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2" fontId="3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2" fontId="2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1" fillId="1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2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3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4" fillId="12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5" fillId="12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4" fillId="12" borderId="3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6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9" fillId="1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1" fillId="10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0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1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2" fillId="12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3" fillId="12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2" fillId="12" borderId="3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6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4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39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27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27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4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5" fillId="1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39" fillId="9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6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1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3" fontId="2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2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39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2" fontId="39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2" fontId="56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2" fontId="2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3" fontId="40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40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33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33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3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8" fillId="11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8" fillId="11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83" fontId="5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2" fontId="40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3" fontId="33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3" fontId="33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0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2" fontId="40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4" fontId="33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4" fontId="40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38" fillId="1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8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9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0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3" fontId="41" fillId="11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8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9" fillId="12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38" fillId="12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3" fontId="40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2">
    <dxf>
      <fill>
        <patternFill>
          <bgColor rgb="FFFCE4E0"/>
        </patternFill>
      </fill>
    </dxf>
    <dxf>
      <font>
        <b val="1"/>
        <color rgb="FFB42318"/>
      </font>
      <fill>
        <patternFill>
          <bgColor rgb="FFFFDDDD"/>
        </patternFill>
      </fill>
    </dxf>
  </dxfs>
  <colors>
    <indexedColors>
      <rgbColor rgb="FF000000"/>
      <rgbColor rgb="FFFFFFFF"/>
      <rgbColor rgb="FFFF0000"/>
      <rgbColor rgb="FF00FF00"/>
      <rgbColor rgb="FF093B49"/>
      <rgbColor rgb="FFFFFF00"/>
      <rgbColor rgb="FFFF00FF"/>
      <rgbColor rgb="FF00FFFF"/>
      <rgbColor rgb="FF800000"/>
      <rgbColor rgb="FF196B24"/>
      <rgbColor rgb="FF2D183C"/>
      <rgbColor rgb="FF197047"/>
      <rgbColor rgb="FF800080"/>
      <rgbColor rgb="FF17834E"/>
      <rgbColor rgb="FFCCCCCC"/>
      <rgbColor rgb="FF8B8B8B"/>
      <rgbColor rgb="FF9999FF"/>
      <rgbColor rgb="FF993366"/>
      <rgbColor rgb="FFFFF6DC"/>
      <rgbColor rgb="FFE8F4FB"/>
      <rgbColor rgb="FF582D82"/>
      <rgbColor rgb="FFFF8080"/>
      <rgbColor rgb="FF0068B5"/>
      <rgbColor rgb="FFD9D9D9"/>
      <rgbColor rgb="FF183640"/>
      <rgbColor rgb="FFFF00FF"/>
      <rgbColor rgb="FFFFFF00"/>
      <rgbColor rgb="FF00FFFF"/>
      <rgbColor rgb="FF800080"/>
      <rgbColor rgb="FF800000"/>
      <rgbColor rgb="FF12669A"/>
      <rgbColor rgb="FF0000FF"/>
      <rgbColor rgb="FF00A6AD"/>
      <rgbColor rgb="FFF0F5F5"/>
      <rgbColor rgb="FFF0EAF6"/>
      <rgbColor rgb="FFFFF0B8"/>
      <rgbColor rgb="FFA8C1C6"/>
      <rgbColor rgb="FFFCE4E0"/>
      <rgbColor rgb="FFF0E9F5"/>
      <rgbColor rgb="FFFFDDDD"/>
      <rgbColor rgb="FF165FCC"/>
      <rgbColor rgb="FF008CD0"/>
      <rgbColor rgb="FF99CC00"/>
      <rgbColor rgb="FFF8B525"/>
      <rgbColor rgb="FFF29633"/>
      <rgbColor rgb="FFFF6600"/>
      <rgbColor rgb="FF666666"/>
      <rgbColor rgb="FF187249"/>
      <rgbColor rgb="FF083B4A"/>
      <rgbColor rgb="FF13A6A5"/>
      <rgbColor rgb="FF172E39"/>
      <rgbColor rgb="FF202020"/>
      <rgbColor rgb="FFB42318"/>
      <rgbColor rgb="FF993366"/>
      <rgbColor rgb="FF552D82"/>
      <rgbColor rgb="FF38274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worksheet" Target="worksheets/sheet24.xml"/><Relationship Id="rId27" Type="http://schemas.openxmlformats.org/officeDocument/2006/relationships/worksheet" Target="worksheets/sheet25.xml"/><Relationship Id="rId28" Type="http://schemas.openxmlformats.org/officeDocument/2006/relationships/worksheet" Target="worksheets/sheet26.xml"/><Relationship Id="rId29" Type="http://schemas.openxmlformats.org/officeDocument/2006/relationships/worksheet" Target="worksheets/sheet27.xml"/><Relationship Id="rId30" Type="http://schemas.openxmlformats.org/officeDocument/2006/relationships/worksheet" Target="worksheets/sheet28.xml"/><Relationship Id="rId31" Type="http://schemas.openxmlformats.org/officeDocument/2006/relationships/worksheet" Target="worksheets/sheet29.xml"/><Relationship Id="rId32" Type="http://schemas.openxmlformats.org/officeDocument/2006/relationships/worksheet" Target="worksheets/sheet30.xml"/><Relationship Id="rId33" Type="http://schemas.openxmlformats.org/officeDocument/2006/relationships/worksheet" Target="worksheets/sheet31.xml"/><Relationship Id="rId3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975" b="1" u="none" strike="noStrike">
                <a:solidFill>
                  <a:srgbClr val="000000"/>
                </a:solidFill>
                <a:uFillTx/>
                <a:latin typeface="Cairo"/>
                <a:ea typeface="Cairo"/>
              </a:rPr>
              <a:t>توزيعات المستثمر حسب المسار (ريال)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"التطبيقات"</c:f>
              <c:strCache>
                <c:ptCount val="1"/>
                <c:pt idx="0">
                  <c:v>التطبيقات</c:v>
                </c:pt>
              </c:strCache>
            </c:strRef>
          </c:tx>
          <c:spPr>
            <a:solidFill>
              <a:srgbClr val="13A6A5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Summary!$J$33:$J$35</c:f>
              <c:strCache>
                <c:ptCount val="3"/>
                <c:pt idx="0">
                  <c:v>سنة 1</c:v>
                </c:pt>
                <c:pt idx="1">
                  <c:v>سنة 2</c:v>
                </c:pt>
                <c:pt idx="2">
                  <c:v>سنة 3</c:v>
                </c:pt>
              </c:strCache>
            </c:strRef>
          </c:cat>
          <c:val>
            <c:numRef>
              <c:f>Summary!$K$33:$K$35</c:f>
              <c:numCache>
                <c:formatCode>#,##0;\(#,##0\);\-</c:formatCode>
                <c:ptCount val="3"/>
                <c:pt idx="0">
                  <c:v>0</c:v>
                </c:pt>
                <c:pt idx="1">
                  <c:v>300483</c:v>
                </c:pt>
                <c:pt idx="2">
                  <c:v>642519</c:v>
                </c:pt>
              </c:numCache>
            </c:numRef>
          </c:val>
        </c:ser>
        <c:ser>
          <c:idx val="1"/>
          <c:order val="1"/>
          <c:tx>
            <c:strRef>
              <c:f>"WOO"</c:f>
              <c:strCache>
                <c:ptCount val="1"/>
                <c:pt idx="0">
                  <c:v>WOO</c:v>
                </c:pt>
              </c:strCache>
            </c:strRef>
          </c:tx>
          <c:spPr>
            <a:solidFill>
              <a:srgbClr val="F8B525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Summary!$J$33:$J$35</c:f>
              <c:strCache>
                <c:ptCount val="3"/>
                <c:pt idx="0">
                  <c:v>سنة 1</c:v>
                </c:pt>
                <c:pt idx="1">
                  <c:v>سنة 2</c:v>
                </c:pt>
                <c:pt idx="2">
                  <c:v>سنة 3</c:v>
                </c:pt>
              </c:strCache>
            </c:strRef>
          </c:cat>
          <c:val>
            <c:numRef>
              <c:f>Summary!$L$33:$L$35</c:f>
              <c:numCache>
                <c:formatCode>#,##0;\(#,##0\);\-</c:formatCode>
                <c:ptCount val="3"/>
                <c:pt idx="0">
                  <c:v>0</c:v>
                </c:pt>
                <c:pt idx="1">
                  <c:v>892577.285290017</c:v>
                </c:pt>
                <c:pt idx="2">
                  <c:v>1392290.3865265</c:v>
                </c:pt>
              </c:numCache>
            </c:numRef>
          </c:val>
        </c:ser>
        <c:gapWidth val="150"/>
        <c:overlap val="0"/>
        <c:axId val="34459473"/>
        <c:axId val="40121634"/>
      </c:barChart>
      <c:catAx>
        <c:axId val="34459473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825" b="0" u="none" strike="noStrike">
                <a:solidFill>
                  <a:srgbClr val="000000"/>
                </a:solidFill>
                <a:uFillTx/>
                <a:latin typeface="Cairo"/>
                <a:ea typeface="Cairo"/>
              </a:defRPr>
            </a:pPr>
          </a:p>
        </c:txPr>
        <c:crossAx val="40121634"/>
        <c:crosses val="autoZero"/>
        <c:auto val="1"/>
        <c:lblAlgn val="ctr"/>
        <c:lblOffset val="100"/>
        <c:noMultiLvlLbl val="0"/>
      </c:catAx>
      <c:valAx>
        <c:axId val="40121634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825" b="0" u="none" strike="noStrike">
                <a:solidFill>
                  <a:srgbClr val="000000"/>
                </a:solidFill>
                <a:uFillTx/>
                <a:latin typeface="Cairo"/>
                <a:ea typeface="Cairo"/>
              </a:defRPr>
            </a:pPr>
          </a:p>
        </c:txPr>
        <c:crossAx val="34459473"/>
        <c:crosses val="autoZero"/>
        <c:crossBetween val="between"/>
      </c:valAx>
      <c:spPr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825" b="0" u="none" strike="noStrike">
              <a:solidFill>
                <a:srgbClr val="000000"/>
              </a:solidFill>
              <a:uFillTx/>
              <a:latin typeface="Cairo"/>
              <a:ea typeface="Cairo"/>
            </a:defRPr>
          </a:pPr>
        </a:p>
      </c:txPr>
    </c:legend>
    <c:plotVisOnly val="1"/>
    <c:dispBlanksAs val="gap"/>
  </c:chart>
  <c:spPr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13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سيولة WOO بعد التمويل والتوزيع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'WOO Monthly'!P5</c:f>
              <c:strCache>
                <c:ptCount val="1"/>
                <c:pt idx="0">
                  <c:v>نقد نهاية</c:v>
                </c:pt>
              </c:strCache>
            </c:strRef>
          </c:tx>
          <c:spPr>
            <a:ln w="12600">
              <a:solidFill>
                <a:srgbClr val="196B2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'WOO Monthly'!$C$6:$C$41</c:f>
              <c:strCache>
                <c:ptCount val="36"/>
                <c:pt idx="0">
                  <c:v>Sep 2026</c:v>
                </c:pt>
                <c:pt idx="1">
                  <c:v>Oct 2026</c:v>
                </c:pt>
                <c:pt idx="2">
                  <c:v>Nov 2026</c:v>
                </c:pt>
                <c:pt idx="3">
                  <c:v>Dec 2026</c:v>
                </c:pt>
                <c:pt idx="4">
                  <c:v>Jan 2027</c:v>
                </c:pt>
                <c:pt idx="5">
                  <c:v>Feb 2027</c:v>
                </c:pt>
                <c:pt idx="6">
                  <c:v>Mar 2027</c:v>
                </c:pt>
                <c:pt idx="7">
                  <c:v>Apr 2027</c:v>
                </c:pt>
                <c:pt idx="8">
                  <c:v>May 2027</c:v>
                </c:pt>
                <c:pt idx="9">
                  <c:v>Jun 2027</c:v>
                </c:pt>
                <c:pt idx="10">
                  <c:v>Jul 2027</c:v>
                </c:pt>
                <c:pt idx="11">
                  <c:v>Aug 2027</c:v>
                </c:pt>
                <c:pt idx="12">
                  <c:v>Sep 2027</c:v>
                </c:pt>
                <c:pt idx="13">
                  <c:v>Oct 2027</c:v>
                </c:pt>
                <c:pt idx="14">
                  <c:v>Nov 2027</c:v>
                </c:pt>
                <c:pt idx="15">
                  <c:v>Dec 2027</c:v>
                </c:pt>
                <c:pt idx="16">
                  <c:v>Jan 2028</c:v>
                </c:pt>
                <c:pt idx="17">
                  <c:v>Feb 2028</c:v>
                </c:pt>
                <c:pt idx="18">
                  <c:v>Mar 2028</c:v>
                </c:pt>
                <c:pt idx="19">
                  <c:v>Apr 2028</c:v>
                </c:pt>
                <c:pt idx="20">
                  <c:v>May 2028</c:v>
                </c:pt>
                <c:pt idx="21">
                  <c:v>Jun 2028</c:v>
                </c:pt>
                <c:pt idx="22">
                  <c:v>Jul 2028</c:v>
                </c:pt>
                <c:pt idx="23">
                  <c:v>Aug 2028</c:v>
                </c:pt>
                <c:pt idx="24">
                  <c:v>Sep 2028</c:v>
                </c:pt>
                <c:pt idx="25">
                  <c:v>Oct 2028</c:v>
                </c:pt>
                <c:pt idx="26">
                  <c:v>Nov 2028</c:v>
                </c:pt>
                <c:pt idx="27">
                  <c:v>Dec 2028</c:v>
                </c:pt>
                <c:pt idx="28">
                  <c:v>Jan 2029</c:v>
                </c:pt>
                <c:pt idx="29">
                  <c:v>Feb 2029</c:v>
                </c:pt>
                <c:pt idx="30">
                  <c:v>Mar 2029</c:v>
                </c:pt>
                <c:pt idx="31">
                  <c:v>Apr 2029</c:v>
                </c:pt>
                <c:pt idx="32">
                  <c:v>May 2029</c:v>
                </c:pt>
                <c:pt idx="33">
                  <c:v>Jun 2029</c:v>
                </c:pt>
                <c:pt idx="34">
                  <c:v>Jul 2029</c:v>
                </c:pt>
                <c:pt idx="35">
                  <c:v>Aug 2029</c:v>
                </c:pt>
              </c:strCache>
            </c:strRef>
          </c:cat>
          <c:val>
            <c:numRef>
              <c:f>'WOO Monthly'!$P$6:$P$41</c:f>
              <c:numCache>
                <c:formatCode>#,##0;[RED]\(#,##0\);\—</c:formatCode>
                <c:ptCount val="36"/>
                <c:pt idx="0">
                  <c:v>-715260.022828718</c:v>
                </c:pt>
                <c:pt idx="1">
                  <c:v>2202196.23478448</c:v>
                </c:pt>
                <c:pt idx="2">
                  <c:v>1360506.02495118</c:v>
                </c:pt>
                <c:pt idx="3">
                  <c:v>558548.023805656</c:v>
                </c:pt>
                <c:pt idx="4">
                  <c:v>1586767.71346105</c:v>
                </c:pt>
                <c:pt idx="5">
                  <c:v>1260386.54371921</c:v>
                </c:pt>
                <c:pt idx="6">
                  <c:v>1825738.33209967</c:v>
                </c:pt>
                <c:pt idx="7">
                  <c:v>3790994.11054225</c:v>
                </c:pt>
                <c:pt idx="8">
                  <c:v>4107473.41595606</c:v>
                </c:pt>
                <c:pt idx="9">
                  <c:v>4496518.8726595</c:v>
                </c:pt>
                <c:pt idx="10">
                  <c:v>4986166.21631947</c:v>
                </c:pt>
                <c:pt idx="11">
                  <c:v>3445693.48583778</c:v>
                </c:pt>
                <c:pt idx="12">
                  <c:v>3745639.93482651</c:v>
                </c:pt>
                <c:pt idx="13">
                  <c:v>4302529.56282394</c:v>
                </c:pt>
                <c:pt idx="14">
                  <c:v>4829973.70016614</c:v>
                </c:pt>
                <c:pt idx="15">
                  <c:v>5843612.85600949</c:v>
                </c:pt>
                <c:pt idx="16">
                  <c:v>6578624.75469632</c:v>
                </c:pt>
                <c:pt idx="17">
                  <c:v>6989933.93691575</c:v>
                </c:pt>
                <c:pt idx="18">
                  <c:v>7762781.94750692</c:v>
                </c:pt>
                <c:pt idx="19">
                  <c:v>8500715.30672418</c:v>
                </c:pt>
                <c:pt idx="20">
                  <c:v>8894878.14965449</c:v>
                </c:pt>
                <c:pt idx="21">
                  <c:v>9433232.8743674</c:v>
                </c:pt>
                <c:pt idx="22">
                  <c:v>10078209.309202</c:v>
                </c:pt>
                <c:pt idx="23">
                  <c:v>7105696.70280548</c:v>
                </c:pt>
                <c:pt idx="24">
                  <c:v>7617303.10141597</c:v>
                </c:pt>
                <c:pt idx="25">
                  <c:v>8426234.13691101</c:v>
                </c:pt>
                <c:pt idx="26">
                  <c:v>9018388.13699276</c:v>
                </c:pt>
                <c:pt idx="27">
                  <c:v>10432076.3577476</c:v>
                </c:pt>
                <c:pt idx="28">
                  <c:v>11546332.8748735</c:v>
                </c:pt>
                <c:pt idx="29">
                  <c:v>12263888.4161319</c:v>
                </c:pt>
                <c:pt idx="30">
                  <c:v>13422208.5848555</c:v>
                </c:pt>
                <c:pt idx="31">
                  <c:v>14541518.4451267</c:v>
                </c:pt>
                <c:pt idx="32">
                  <c:v>15240825.1410862</c:v>
                </c:pt>
                <c:pt idx="33">
                  <c:v>16138294.9785988</c:v>
                </c:pt>
                <c:pt idx="34">
                  <c:v>17148776.9287724</c:v>
                </c:pt>
                <c:pt idx="35">
                  <c:v>12769425.5568294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23097361"/>
        <c:axId val="89015663"/>
      </c:lineChart>
      <c:catAx>
        <c:axId val="2309736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rPr>
                  <a:t>الشهر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mmm\ yyyy" sourceLinked="1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89015663"/>
        <c:crosses val="autoZero"/>
        <c:auto val="1"/>
        <c:lblAlgn val="ctr"/>
        <c:lblOffset val="100"/>
        <c:noMultiLvlLbl val="0"/>
      </c:catAx>
      <c:valAx>
        <c:axId val="89015663"/>
        <c:scaling>
          <c:orientation val="minMax"/>
        </c:scaling>
        <c:delete val="0"/>
        <c:axPos val="l"/>
        <c:majorGridlines>
          <c:spPr>
            <a:ln w="12600">
              <a:solidFill>
                <a:srgbClr val="8B8B8B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rPr>
                  <a:t>ريال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;[RED]\(#,##0\);\—" sourceLinked="1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23097361"/>
        <c:crosses val="autoZero"/>
        <c:crossBetween val="between"/>
      </c:valAx>
      <c:spPr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  <a:ea typeface="Calibri"/>
            </a:defRPr>
          </a:pPr>
        </a:p>
      </c:txPr>
    </c:legend>
    <c:plotVisOnly val="1"/>
    <c:dispBlanksAs val="gap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-610920</xdr:colOff>
      <xdr:row>4</xdr:row>
      <xdr:rowOff>0</xdr:rowOff>
    </xdr:from>
    <xdr:to>
      <xdr:col>16</xdr:col>
      <xdr:colOff>0</xdr:colOff>
      <xdr:row>20</xdr:row>
      <xdr:rowOff>313920</xdr:rowOff>
    </xdr:to>
    <xdr:graphicFrame>
      <xdr:nvGraphicFramePr>
        <xdr:cNvPr id="1" name="Chart 1"/>
        <xdr:cNvGraphicFramePr/>
      </xdr:nvGraphicFramePr>
      <xdr:xfrm>
        <a:off x="-17786520" y="1162080"/>
        <a:ext cx="7566120" cy="5628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20</xdr:col>
      <xdr:colOff>-187200</xdr:colOff>
      <xdr:row>5</xdr:row>
      <xdr:rowOff>0</xdr:rowOff>
    </xdr:from>
    <xdr:to>
      <xdr:col>35</xdr:col>
      <xdr:colOff>0</xdr:colOff>
      <xdr:row>15</xdr:row>
      <xdr:rowOff>340200</xdr:rowOff>
    </xdr:to>
    <xdr:graphicFrame>
      <xdr:nvGraphicFramePr>
        <xdr:cNvPr id="2" name="Chart 1"/>
        <xdr:cNvGraphicFramePr/>
      </xdr:nvGraphicFramePr>
      <xdr:xfrm>
        <a:off x="-33160680" y="1666800"/>
        <a:ext cx="9359640" cy="39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A6AD"/>
    <pageSetUpPr fitToPage="true"/>
  </sheetPr>
  <dimension ref="C2:H19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1" width="2"/>
    <col collapsed="false" customWidth="true" hidden="false" outlineLevel="0" max="3" min="3" style="1" width="27"/>
    <col collapsed="false" customWidth="true" hidden="false" outlineLevel="0" max="4" min="4" style="1" width="51"/>
    <col collapsed="false" customWidth="true" hidden="false" outlineLevel="0" max="5" min="5" style="1" width="73"/>
  </cols>
  <sheetData>
    <row r="2" customFormat="false" ht="42.75" hidden="false" customHeight="true" outlineLevel="0" collapsed="false">
      <c r="C2" s="2" t="s">
        <v>0</v>
      </c>
      <c r="D2" s="2"/>
      <c r="E2" s="2"/>
      <c r="F2" s="2"/>
      <c r="G2" s="2"/>
      <c r="H2" s="2"/>
    </row>
    <row r="5" customFormat="false" ht="43.5" hidden="false" customHeight="true" outlineLevel="0" collapsed="false">
      <c r="C5" s="3" t="s">
        <v>1</v>
      </c>
      <c r="D5" s="3" t="s">
        <v>2</v>
      </c>
      <c r="E5" s="3" t="s">
        <v>3</v>
      </c>
    </row>
    <row r="6" customFormat="false" ht="51" hidden="false" customHeight="true" outlineLevel="0" collapsed="false">
      <c r="C6" s="4" t="s">
        <v>4</v>
      </c>
      <c r="D6" s="4" t="s">
        <v>5</v>
      </c>
      <c r="E6" s="4" t="s">
        <v>6</v>
      </c>
    </row>
    <row r="7" customFormat="false" ht="51" hidden="false" customHeight="true" outlineLevel="0" collapsed="false">
      <c r="C7" s="5" t="s">
        <v>7</v>
      </c>
      <c r="D7" s="5" t="s">
        <v>8</v>
      </c>
      <c r="E7" s="5" t="s">
        <v>9</v>
      </c>
    </row>
    <row r="8" customFormat="false" ht="51" hidden="false" customHeight="true" outlineLevel="0" collapsed="false">
      <c r="C8" s="4" t="s">
        <v>10</v>
      </c>
      <c r="D8" s="4" t="s">
        <v>11</v>
      </c>
      <c r="E8" s="4" t="s">
        <v>12</v>
      </c>
    </row>
    <row r="9" customFormat="false" ht="51" hidden="false" customHeight="true" outlineLevel="0" collapsed="false">
      <c r="C9" s="5" t="s">
        <v>13</v>
      </c>
      <c r="D9" s="5" t="s">
        <v>14</v>
      </c>
      <c r="E9" s="5" t="s">
        <v>15</v>
      </c>
    </row>
    <row r="10" customFormat="false" ht="51" hidden="false" customHeight="true" outlineLevel="0" collapsed="false">
      <c r="C10" s="4" t="s">
        <v>16</v>
      </c>
      <c r="D10" s="4" t="s">
        <v>17</v>
      </c>
      <c r="E10" s="4" t="s">
        <v>18</v>
      </c>
    </row>
    <row r="11" customFormat="false" ht="51" hidden="false" customHeight="true" outlineLevel="0" collapsed="false">
      <c r="C11" s="5" t="s">
        <v>19</v>
      </c>
      <c r="D11" s="5" t="s">
        <v>20</v>
      </c>
      <c r="E11" s="5" t="s">
        <v>21</v>
      </c>
    </row>
    <row r="12" customFormat="false" ht="51" hidden="false" customHeight="true" outlineLevel="0" collapsed="false">
      <c r="C12" s="4" t="s">
        <v>22</v>
      </c>
      <c r="D12" s="4" t="s">
        <v>23</v>
      </c>
      <c r="E12" s="4" t="s">
        <v>24</v>
      </c>
    </row>
    <row r="13" customFormat="false" ht="51" hidden="false" customHeight="true" outlineLevel="0" collapsed="false">
      <c r="C13" s="5" t="s">
        <v>25</v>
      </c>
      <c r="D13" s="5" t="s">
        <v>26</v>
      </c>
      <c r="E13" s="5" t="s">
        <v>27</v>
      </c>
    </row>
    <row r="14" customFormat="false" ht="51" hidden="false" customHeight="true" outlineLevel="0" collapsed="false">
      <c r="C14" s="4" t="s">
        <v>28</v>
      </c>
      <c r="D14" s="4" t="s">
        <v>29</v>
      </c>
      <c r="E14" s="4" t="s">
        <v>30</v>
      </c>
    </row>
    <row r="15" customFormat="false" ht="51" hidden="false" customHeight="true" outlineLevel="0" collapsed="false">
      <c r="C15" s="5" t="s">
        <v>31</v>
      </c>
      <c r="D15" s="5" t="s">
        <v>32</v>
      </c>
      <c r="E15" s="5" t="s">
        <v>33</v>
      </c>
    </row>
    <row r="16" customFormat="false" ht="51" hidden="false" customHeight="true" outlineLevel="0" collapsed="false">
      <c r="C16" s="4" t="s">
        <v>34</v>
      </c>
      <c r="D16" s="4" t="s">
        <v>35</v>
      </c>
      <c r="E16" s="4" t="s">
        <v>36</v>
      </c>
    </row>
    <row r="19" customFormat="false" ht="36.75" hidden="false" customHeight="true" outlineLevel="0" collapsed="false">
      <c r="C19" s="6" t="s">
        <v>37</v>
      </c>
      <c r="D19" s="6"/>
      <c r="E19" s="6"/>
    </row>
  </sheetData>
  <mergeCells count="2">
    <mergeCell ref="C2:H2"/>
    <mergeCell ref="C19:E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83B4A"/>
    <pageSetUpPr fitToPage="false"/>
  </sheetPr>
  <dimension ref="A1:O11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1" width="3"/>
    <col collapsed="false" customWidth="true" hidden="false" outlineLevel="0" max="3" min="3" style="1" width="45"/>
    <col collapsed="false" customWidth="true" hidden="false" outlineLevel="0" max="8" min="4" style="1" width="18"/>
    <col collapsed="false" customWidth="true" hidden="false" outlineLevel="0" max="9" min="9" style="1" width="4"/>
    <col collapsed="false" customWidth="true" hidden="false" outlineLevel="0" max="15" min="10" style="1" width="15"/>
  </cols>
  <sheetData>
    <row r="1" customFormat="false" ht="15" hidden="false" customHeight="false" outlineLevel="0" collapsed="false">
      <c r="A1" s="7"/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customFormat="false" ht="36.75" hidden="false" customHeight="true" outlineLevel="0" collapsed="false">
      <c r="A2" s="7"/>
      <c r="B2" s="7"/>
      <c r="C2" s="9" t="s">
        <v>38</v>
      </c>
      <c r="D2" s="9"/>
      <c r="E2" s="9"/>
      <c r="F2" s="9"/>
      <c r="G2" s="9"/>
      <c r="H2" s="9"/>
      <c r="I2" s="8"/>
      <c r="J2" s="8"/>
      <c r="K2" s="8"/>
      <c r="L2" s="8"/>
      <c r="M2" s="8"/>
      <c r="N2" s="8"/>
      <c r="O2" s="8"/>
    </row>
    <row r="3" customFormat="false" ht="15" hidden="false" customHeight="false" outlineLevel="0" collapsed="false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customFormat="false" ht="24.75" hidden="false" customHeight="true" outlineLevel="0" collapsed="false">
      <c r="A4" s="7"/>
      <c r="B4" s="7"/>
      <c r="C4" s="8"/>
      <c r="D4" s="8"/>
      <c r="E4" s="8"/>
      <c r="F4" s="8"/>
      <c r="G4" s="8"/>
      <c r="H4" s="8"/>
      <c r="I4" s="8"/>
      <c r="J4" s="10" t="s">
        <v>39</v>
      </c>
      <c r="K4" s="11" t="str">
        <f aca="false">CHOOSE(Terms!D4,"متحفظ","أساسي","نمو")</f>
        <v>أساسي</v>
      </c>
      <c r="L4" s="8"/>
      <c r="M4" s="8"/>
      <c r="N4" s="8"/>
      <c r="O4" s="8"/>
    </row>
    <row r="5" customFormat="false" ht="30" hidden="false" customHeight="true" outlineLevel="0" collapsed="false">
      <c r="A5" s="7"/>
      <c r="B5" s="7"/>
      <c r="C5" s="12" t="s">
        <v>40</v>
      </c>
      <c r="D5" s="13" t="s">
        <v>41</v>
      </c>
      <c r="E5" s="13" t="s">
        <v>42</v>
      </c>
      <c r="F5" s="13" t="s">
        <v>43</v>
      </c>
      <c r="G5" s="13" t="s">
        <v>44</v>
      </c>
      <c r="H5" s="13" t="s">
        <v>45</v>
      </c>
      <c r="I5" s="8"/>
      <c r="J5" s="8"/>
      <c r="K5" s="8"/>
      <c r="L5" s="8"/>
      <c r="M5" s="8"/>
      <c r="N5" s="8"/>
      <c r="O5" s="8"/>
    </row>
    <row r="6" customFormat="false" ht="24.75" hidden="false" customHeight="true" outlineLevel="0" collapsed="false">
      <c r="A6" s="7"/>
      <c r="B6" s="7"/>
      <c r="C6" s="10" t="s">
        <v>46</v>
      </c>
      <c r="D6" s="14" t="n">
        <f aca="false">Terms!D13</f>
        <v>1380000</v>
      </c>
      <c r="E6" s="15" t="n">
        <f aca="false">Terms!E13</f>
        <v>0.3</v>
      </c>
      <c r="F6" s="14" t="n">
        <f aca="false">Apps!D38</f>
        <v>0</v>
      </c>
      <c r="G6" s="14" t="n">
        <f aca="false">Apps!E38</f>
        <v>66798</v>
      </c>
      <c r="H6" s="14" t="n">
        <f aca="false">Apps!F38</f>
        <v>156114</v>
      </c>
      <c r="I6" s="8"/>
      <c r="J6" s="8"/>
      <c r="K6" s="8"/>
      <c r="L6" s="8"/>
      <c r="M6" s="8"/>
      <c r="N6" s="8"/>
      <c r="O6" s="8"/>
    </row>
    <row r="7" customFormat="false" ht="24.75" hidden="false" customHeight="true" outlineLevel="0" collapsed="false">
      <c r="A7" s="7"/>
      <c r="B7" s="7"/>
      <c r="C7" s="10" t="s">
        <v>47</v>
      </c>
      <c r="D7" s="14" t="n">
        <f aca="false">Terms!D14</f>
        <v>1290000</v>
      </c>
      <c r="E7" s="15" t="n">
        <f aca="false">Terms!E14</f>
        <v>0.3</v>
      </c>
      <c r="F7" s="14" t="n">
        <f aca="false">Apps!D62</f>
        <v>0</v>
      </c>
      <c r="G7" s="14" t="n">
        <f aca="false">Apps!E62</f>
        <v>86130</v>
      </c>
      <c r="H7" s="14" t="n">
        <f aca="false">Apps!F62</f>
        <v>177390</v>
      </c>
      <c r="I7" s="8"/>
      <c r="J7" s="8"/>
      <c r="K7" s="8"/>
      <c r="L7" s="8"/>
      <c r="M7" s="8"/>
      <c r="N7" s="8"/>
      <c r="O7" s="8"/>
    </row>
    <row r="8" customFormat="false" ht="24.75" hidden="false" customHeight="true" outlineLevel="0" collapsed="false">
      <c r="A8" s="7"/>
      <c r="B8" s="7"/>
      <c r="C8" s="10" t="s">
        <v>48</v>
      </c>
      <c r="D8" s="14" t="n">
        <f aca="false">Terms!D15</f>
        <v>5000000</v>
      </c>
      <c r="E8" s="15" t="n">
        <f aca="false">Terms!E15</f>
        <v>0.3</v>
      </c>
      <c r="F8" s="14" t="n">
        <f aca="false">Apps!D86</f>
        <v>0</v>
      </c>
      <c r="G8" s="14" t="n">
        <f aca="false">Apps!E86</f>
        <v>147555</v>
      </c>
      <c r="H8" s="14" t="n">
        <f aca="false">Apps!F86</f>
        <v>309015</v>
      </c>
      <c r="I8" s="8"/>
      <c r="J8" s="8"/>
      <c r="K8" s="8"/>
      <c r="L8" s="8"/>
      <c r="M8" s="8"/>
      <c r="N8" s="8"/>
      <c r="O8" s="8"/>
    </row>
    <row r="9" customFormat="false" ht="24.75" hidden="false" customHeight="true" outlineLevel="0" collapsed="false">
      <c r="A9" s="7"/>
      <c r="B9" s="7"/>
      <c r="C9" s="10" t="s">
        <v>49</v>
      </c>
      <c r="D9" s="14" t="n">
        <f aca="false">Terms!D16</f>
        <v>7000000</v>
      </c>
      <c r="E9" s="15" t="n">
        <f aca="false">Terms!E16</f>
        <v>0.3</v>
      </c>
      <c r="F9" s="14" t="n">
        <f aca="false">WOO!D27</f>
        <v>0</v>
      </c>
      <c r="G9" s="14" t="n">
        <f aca="false">WOO!E27</f>
        <v>892577.285290017</v>
      </c>
      <c r="H9" s="14" t="n">
        <f aca="false">WOO!F27</f>
        <v>1392290.3865265</v>
      </c>
      <c r="I9" s="8"/>
      <c r="J9" s="8"/>
      <c r="K9" s="8"/>
      <c r="L9" s="8"/>
      <c r="M9" s="8"/>
      <c r="N9" s="8"/>
      <c r="O9" s="8"/>
    </row>
    <row r="10" customFormat="false" ht="24.75" hidden="false" customHeight="true" outlineLevel="0" collapsed="false">
      <c r="A10" s="7"/>
      <c r="B10" s="7"/>
      <c r="C10" s="8"/>
      <c r="D10" s="16"/>
      <c r="E10" s="16"/>
      <c r="F10" s="16"/>
      <c r="G10" s="16"/>
      <c r="H10" s="16"/>
      <c r="I10" s="8"/>
      <c r="J10" s="8"/>
      <c r="K10" s="8"/>
      <c r="L10" s="8"/>
      <c r="M10" s="8"/>
      <c r="N10" s="8"/>
      <c r="O10" s="8"/>
    </row>
    <row r="11" customFormat="false" ht="24.75" hidden="false" customHeight="true" outlineLevel="0" collapsed="false">
      <c r="A11" s="7"/>
      <c r="B11" s="7"/>
      <c r="C11" s="10" t="s">
        <v>50</v>
      </c>
      <c r="D11" s="14" t="n">
        <f aca="false">SUM(D6:D8)</f>
        <v>7670000</v>
      </c>
      <c r="E11" s="17" t="s">
        <v>51</v>
      </c>
      <c r="F11" s="14" t="n">
        <f aca="false">SUM(F6:F8)</f>
        <v>0</v>
      </c>
      <c r="G11" s="14" t="n">
        <f aca="false">SUM(G6:G8)</f>
        <v>300483</v>
      </c>
      <c r="H11" s="14" t="n">
        <f aca="false">SUM(H6:H8)</f>
        <v>642519</v>
      </c>
      <c r="I11" s="8"/>
      <c r="J11" s="8"/>
      <c r="K11" s="8"/>
      <c r="L11" s="8"/>
      <c r="M11" s="8"/>
      <c r="N11" s="8"/>
      <c r="O11" s="8"/>
    </row>
    <row r="12" customFormat="false" ht="24.75" hidden="false" customHeight="true" outlineLevel="0" collapsed="false">
      <c r="A12" s="7"/>
      <c r="B12" s="7"/>
      <c r="C12" s="8"/>
      <c r="D12" s="16"/>
      <c r="E12" s="16"/>
      <c r="F12" s="16"/>
      <c r="G12" s="16"/>
      <c r="H12" s="16"/>
      <c r="I12" s="8"/>
      <c r="J12" s="8"/>
      <c r="K12" s="8"/>
      <c r="L12" s="8"/>
      <c r="M12" s="8"/>
      <c r="N12" s="8"/>
      <c r="O12" s="8"/>
    </row>
    <row r="13" customFormat="false" ht="24.75" hidden="false" customHeight="true" outlineLevel="0" collapsed="false">
      <c r="A13" s="7"/>
      <c r="B13" s="7"/>
      <c r="C13" s="8"/>
      <c r="D13" s="16"/>
      <c r="E13" s="16"/>
      <c r="F13" s="16"/>
      <c r="G13" s="16"/>
      <c r="H13" s="16"/>
      <c r="I13" s="8"/>
      <c r="J13" s="8"/>
      <c r="K13" s="8"/>
      <c r="L13" s="8"/>
      <c r="M13" s="8"/>
      <c r="N13" s="8"/>
      <c r="O13" s="8"/>
    </row>
    <row r="14" customFormat="false" ht="24.75" hidden="false" customHeight="true" outlineLevel="0" collapsed="false">
      <c r="A14" s="7"/>
      <c r="B14" s="7"/>
      <c r="C14" s="8"/>
      <c r="D14" s="16"/>
      <c r="E14" s="16"/>
      <c r="F14" s="16"/>
      <c r="G14" s="16"/>
      <c r="H14" s="16"/>
      <c r="I14" s="8"/>
      <c r="J14" s="8"/>
      <c r="K14" s="8"/>
      <c r="L14" s="8"/>
      <c r="M14" s="8"/>
      <c r="N14" s="8"/>
      <c r="O14" s="8"/>
    </row>
    <row r="15" customFormat="false" ht="42" hidden="false" customHeight="true" outlineLevel="0" collapsed="false">
      <c r="A15" s="7"/>
      <c r="B15" s="7"/>
      <c r="C15" s="18" t="s">
        <v>52</v>
      </c>
      <c r="D15" s="19" t="s">
        <v>53</v>
      </c>
      <c r="E15" s="19" t="s">
        <v>54</v>
      </c>
      <c r="F15" s="19" t="s">
        <v>55</v>
      </c>
      <c r="G15" s="19" t="s">
        <v>56</v>
      </c>
      <c r="H15" s="19" t="s">
        <v>57</v>
      </c>
      <c r="I15" s="8"/>
      <c r="J15" s="10" t="s">
        <v>58</v>
      </c>
      <c r="K15" s="8"/>
      <c r="L15" s="8"/>
      <c r="M15" s="8"/>
      <c r="N15" s="8"/>
      <c r="O15" s="8"/>
    </row>
    <row r="16" customFormat="false" ht="24.75" hidden="false" customHeight="true" outlineLevel="0" collapsed="false">
      <c r="A16" s="7"/>
      <c r="B16" s="7"/>
      <c r="C16" s="10" t="s">
        <v>59</v>
      </c>
      <c r="D16" s="14" t="n">
        <f aca="false">D11</f>
        <v>7670000</v>
      </c>
      <c r="E16" s="14" t="n">
        <f aca="false">SUM(F11:H11)</f>
        <v>943002</v>
      </c>
      <c r="F16" s="14" t="n">
        <f aca="false">SUM('Exit Details'!I6:I8)</f>
        <v>9826920</v>
      </c>
      <c r="G16" s="20" t="n">
        <f aca="false">SUM(E16:F16)/D16</f>
        <v>1.40416192959583</v>
      </c>
      <c r="H16" s="21" t="n">
        <f aca="false">IRR(D23:G23)</f>
        <v>0.12105567324283</v>
      </c>
      <c r="I16" s="8"/>
      <c r="J16" s="22" t="n">
        <f aca="false">'Investor Cashflows'!G14</f>
        <v>0.118308999160896</v>
      </c>
      <c r="K16" s="8"/>
      <c r="L16" s="8"/>
      <c r="M16" s="8"/>
      <c r="N16" s="8"/>
      <c r="O16" s="8"/>
    </row>
    <row r="17" customFormat="false" ht="24.75" hidden="false" customHeight="true" outlineLevel="0" collapsed="false">
      <c r="A17" s="7"/>
      <c r="B17" s="7"/>
      <c r="C17" s="10" t="s">
        <v>49</v>
      </c>
      <c r="D17" s="14" t="n">
        <f aca="false">D9</f>
        <v>7000000</v>
      </c>
      <c r="E17" s="14" t="n">
        <f aca="false">SUM(F9:H9)</f>
        <v>2284867.67181652</v>
      </c>
      <c r="F17" s="14" t="n">
        <f aca="false">'Exit Details'!I9</f>
        <v>16498053.1836278</v>
      </c>
      <c r="G17" s="20" t="n">
        <f aca="false">SUM(E17:F17)/D17</f>
        <v>2.68327440792062</v>
      </c>
      <c r="H17" s="21" t="n">
        <f aca="false">IRR(D24:G24)</f>
        <v>0.398308002850523</v>
      </c>
      <c r="I17" s="8"/>
      <c r="J17" s="22" t="n">
        <f aca="false">'Investor Cashflows'!I14</f>
        <v>0.445506855592146</v>
      </c>
      <c r="K17" s="8"/>
      <c r="L17" s="8"/>
      <c r="M17" s="8"/>
      <c r="N17" s="8"/>
      <c r="O17" s="8"/>
    </row>
    <row r="18" customFormat="false" ht="24.75" hidden="false" customHeight="true" outlineLevel="0" collapsed="false">
      <c r="A18" s="7"/>
      <c r="B18" s="7"/>
      <c r="C18" s="8"/>
      <c r="D18" s="16"/>
      <c r="E18" s="16"/>
      <c r="F18" s="16"/>
      <c r="G18" s="16"/>
      <c r="H18" s="16"/>
      <c r="I18" s="8"/>
      <c r="J18" s="8"/>
      <c r="K18" s="8"/>
      <c r="L18" s="8"/>
      <c r="M18" s="8"/>
      <c r="N18" s="8"/>
      <c r="O18" s="8"/>
    </row>
    <row r="19" customFormat="false" ht="24.75" hidden="false" customHeight="true" outlineLevel="0" collapsed="false">
      <c r="A19" s="7"/>
      <c r="B19" s="7"/>
      <c r="C19" s="8"/>
      <c r="D19" s="16"/>
      <c r="E19" s="16"/>
      <c r="F19" s="16"/>
      <c r="G19" s="16"/>
      <c r="H19" s="16"/>
      <c r="I19" s="8"/>
      <c r="J19" s="8"/>
      <c r="K19" s="8"/>
      <c r="L19" s="8"/>
      <c r="M19" s="8"/>
      <c r="N19" s="8"/>
      <c r="O19" s="8"/>
    </row>
    <row r="20" customFormat="false" ht="24.75" hidden="false" customHeight="true" outlineLevel="0" collapsed="false">
      <c r="A20" s="7"/>
      <c r="B20" s="7"/>
      <c r="C20" s="8"/>
      <c r="D20" s="16"/>
      <c r="E20" s="16"/>
      <c r="F20" s="16"/>
      <c r="G20" s="16"/>
      <c r="H20" s="16"/>
      <c r="I20" s="8"/>
      <c r="J20" s="8"/>
      <c r="K20" s="8"/>
      <c r="L20" s="8"/>
      <c r="M20" s="8"/>
      <c r="N20" s="8"/>
      <c r="O20" s="8"/>
    </row>
    <row r="21" customFormat="false" ht="24.75" hidden="false" customHeight="true" outlineLevel="0" collapsed="false">
      <c r="A21" s="7"/>
      <c r="B21" s="7"/>
      <c r="C21" s="8"/>
      <c r="D21" s="16"/>
      <c r="E21" s="16"/>
      <c r="F21" s="16"/>
      <c r="G21" s="16"/>
      <c r="H21" s="16"/>
      <c r="I21" s="8"/>
      <c r="J21" s="8"/>
      <c r="K21" s="8"/>
      <c r="L21" s="8"/>
      <c r="M21" s="8"/>
      <c r="N21" s="8"/>
      <c r="O21" s="8"/>
    </row>
    <row r="22" customFormat="false" ht="30" hidden="false" customHeight="true" outlineLevel="0" collapsed="false">
      <c r="A22" s="7"/>
      <c r="B22" s="7"/>
      <c r="C22" s="12" t="s">
        <v>60</v>
      </c>
      <c r="D22" s="13" t="s">
        <v>61</v>
      </c>
      <c r="E22" s="13" t="s">
        <v>62</v>
      </c>
      <c r="F22" s="13" t="s">
        <v>63</v>
      </c>
      <c r="G22" s="13" t="s">
        <v>64</v>
      </c>
      <c r="H22" s="16"/>
      <c r="I22" s="8"/>
      <c r="J22" s="8"/>
      <c r="K22" s="8"/>
      <c r="L22" s="8"/>
      <c r="M22" s="8"/>
      <c r="N22" s="8"/>
      <c r="O22" s="8"/>
    </row>
    <row r="23" customFormat="false" ht="24.75" hidden="false" customHeight="true" outlineLevel="0" collapsed="false">
      <c r="A23" s="7"/>
      <c r="B23" s="7"/>
      <c r="C23" s="10" t="s">
        <v>65</v>
      </c>
      <c r="D23" s="14" t="n">
        <f aca="false">-D16</f>
        <v>-7670000</v>
      </c>
      <c r="E23" s="14" t="n">
        <f aca="false">F11</f>
        <v>0</v>
      </c>
      <c r="F23" s="14" t="n">
        <f aca="false">G11</f>
        <v>300483</v>
      </c>
      <c r="G23" s="14" t="n">
        <f aca="false">H11+F16</f>
        <v>10469439</v>
      </c>
      <c r="H23" s="16"/>
      <c r="I23" s="8"/>
      <c r="J23" s="8"/>
      <c r="K23" s="8"/>
      <c r="L23" s="8"/>
      <c r="M23" s="8"/>
      <c r="N23" s="8"/>
      <c r="O23" s="8"/>
    </row>
    <row r="24" customFormat="false" ht="24.75" hidden="false" customHeight="true" outlineLevel="0" collapsed="false">
      <c r="A24" s="7"/>
      <c r="B24" s="7"/>
      <c r="C24" s="10" t="s">
        <v>49</v>
      </c>
      <c r="D24" s="14" t="n">
        <f aca="false">-D17</f>
        <v>-7000000</v>
      </c>
      <c r="E24" s="14" t="n">
        <f aca="false">F9</f>
        <v>0</v>
      </c>
      <c r="F24" s="14" t="n">
        <f aca="false">G9</f>
        <v>892577.285290017</v>
      </c>
      <c r="G24" s="14" t="n">
        <f aca="false">H9+F17</f>
        <v>17890343.5701543</v>
      </c>
      <c r="H24" s="16"/>
      <c r="I24" s="8"/>
      <c r="J24" s="8"/>
      <c r="K24" s="8"/>
      <c r="L24" s="8"/>
      <c r="M24" s="8"/>
      <c r="N24" s="8"/>
      <c r="O24" s="8"/>
    </row>
    <row r="25" customFormat="false" ht="24.75" hidden="false" customHeight="true" outlineLevel="0" collapsed="false">
      <c r="A25" s="7"/>
      <c r="B25" s="7"/>
      <c r="C25" s="8"/>
      <c r="D25" s="16"/>
      <c r="E25" s="16"/>
      <c r="F25" s="16"/>
      <c r="G25" s="16"/>
      <c r="H25" s="16"/>
      <c r="I25" s="8"/>
      <c r="J25" s="8"/>
      <c r="K25" s="8"/>
      <c r="L25" s="8"/>
      <c r="M25" s="8"/>
      <c r="N25" s="8"/>
      <c r="O25" s="8"/>
    </row>
    <row r="26" customFormat="false" ht="24.75" hidden="false" customHeight="true" outlineLevel="0" collapsed="false">
      <c r="A26" s="7"/>
      <c r="B26" s="7"/>
      <c r="C26" s="8"/>
      <c r="D26" s="16"/>
      <c r="E26" s="16"/>
      <c r="F26" s="16"/>
      <c r="G26" s="16"/>
      <c r="H26" s="16"/>
      <c r="I26" s="8"/>
      <c r="J26" s="8"/>
      <c r="K26" s="8"/>
      <c r="L26" s="8"/>
      <c r="M26" s="8"/>
      <c r="N26" s="8"/>
      <c r="O26" s="8"/>
    </row>
    <row r="27" customFormat="false" ht="39" hidden="false" customHeight="true" outlineLevel="0" collapsed="false">
      <c r="A27" s="7"/>
      <c r="B27" s="7"/>
      <c r="C27" s="23" t="s">
        <v>66</v>
      </c>
      <c r="D27" s="23"/>
      <c r="E27" s="23"/>
      <c r="F27" s="23"/>
      <c r="G27" s="23"/>
      <c r="H27" s="23"/>
      <c r="I27" s="8"/>
      <c r="J27" s="8"/>
      <c r="K27" s="8"/>
      <c r="L27" s="8"/>
      <c r="M27" s="8"/>
      <c r="N27" s="8"/>
      <c r="O27" s="8"/>
    </row>
    <row r="28" customFormat="false" ht="39" hidden="false" customHeight="true" outlineLevel="0" collapsed="false">
      <c r="A28" s="7"/>
      <c r="B28" s="7"/>
      <c r="C28" s="23" t="s">
        <v>67</v>
      </c>
      <c r="D28" s="23"/>
      <c r="E28" s="23"/>
      <c r="F28" s="23"/>
      <c r="G28" s="23"/>
      <c r="H28" s="23"/>
      <c r="I28" s="8"/>
      <c r="J28" s="8"/>
      <c r="K28" s="8"/>
      <c r="L28" s="8"/>
      <c r="M28" s="8"/>
      <c r="N28" s="8"/>
      <c r="O28" s="8"/>
    </row>
    <row r="29" customFormat="false" ht="24.75" hidden="false" customHeight="true" outlineLevel="0" collapsed="false">
      <c r="A29" s="7"/>
      <c r="B29" s="7"/>
      <c r="C29" s="10" t="s">
        <v>68</v>
      </c>
      <c r="D29" s="16"/>
      <c r="E29" s="16"/>
      <c r="F29" s="16"/>
      <c r="G29" s="16"/>
      <c r="H29" s="16"/>
      <c r="I29" s="8"/>
      <c r="J29" s="8"/>
      <c r="K29" s="8"/>
      <c r="L29" s="8"/>
      <c r="M29" s="8"/>
      <c r="N29" s="8"/>
      <c r="O29" s="8"/>
    </row>
    <row r="30" customFormat="false" ht="39" hidden="false" customHeight="true" outlineLevel="0" collapsed="false">
      <c r="A30" s="7"/>
      <c r="B30" s="7"/>
      <c r="C30" s="23" t="s">
        <v>69</v>
      </c>
      <c r="D30" s="23"/>
      <c r="E30" s="23"/>
      <c r="F30" s="23"/>
      <c r="G30" s="23"/>
      <c r="H30" s="23"/>
      <c r="I30" s="8"/>
      <c r="J30" s="8"/>
      <c r="K30" s="8"/>
      <c r="L30" s="8"/>
      <c r="M30" s="8"/>
      <c r="N30" s="8"/>
      <c r="O30" s="8"/>
    </row>
    <row r="31" customFormat="false" ht="24.75" hidden="false" customHeight="true" outlineLevel="0" collapsed="false">
      <c r="A31" s="7"/>
      <c r="B31" s="7"/>
      <c r="C31" s="8"/>
      <c r="D31" s="16"/>
      <c r="E31" s="16"/>
      <c r="F31" s="16"/>
      <c r="G31" s="16"/>
      <c r="H31" s="16"/>
      <c r="I31" s="8"/>
      <c r="J31" s="8"/>
      <c r="K31" s="8"/>
      <c r="L31" s="8"/>
      <c r="M31" s="8"/>
      <c r="N31" s="8"/>
      <c r="O31" s="8"/>
    </row>
    <row r="32" customFormat="false" ht="30" hidden="false" customHeight="true" outlineLevel="0" collapsed="false">
      <c r="A32" s="7"/>
      <c r="B32" s="7"/>
      <c r="C32" s="8"/>
      <c r="D32" s="16"/>
      <c r="E32" s="16"/>
      <c r="F32" s="16"/>
      <c r="G32" s="16"/>
      <c r="H32" s="16"/>
      <c r="I32" s="8"/>
      <c r="J32" s="12" t="s">
        <v>70</v>
      </c>
      <c r="K32" s="12" t="s">
        <v>65</v>
      </c>
      <c r="L32" s="12" t="s">
        <v>49</v>
      </c>
      <c r="M32" s="8"/>
      <c r="N32" s="8"/>
      <c r="O32" s="8"/>
    </row>
    <row r="33" customFormat="false" ht="24.75" hidden="false" customHeight="true" outlineLevel="0" collapsed="false">
      <c r="A33" s="7"/>
      <c r="B33" s="7"/>
      <c r="C33" s="8"/>
      <c r="D33" s="16"/>
      <c r="E33" s="16"/>
      <c r="F33" s="16"/>
      <c r="G33" s="16"/>
      <c r="H33" s="16"/>
      <c r="I33" s="8"/>
      <c r="J33" s="10" t="s">
        <v>71</v>
      </c>
      <c r="K33" s="14" t="n">
        <f aca="false">F11</f>
        <v>0</v>
      </c>
      <c r="L33" s="14" t="n">
        <f aca="false">F9</f>
        <v>0</v>
      </c>
      <c r="M33" s="8"/>
      <c r="N33" s="8"/>
      <c r="O33" s="8"/>
    </row>
    <row r="34" customFormat="false" ht="24.75" hidden="false" customHeight="true" outlineLevel="0" collapsed="false">
      <c r="A34" s="7"/>
      <c r="B34" s="7"/>
      <c r="C34" s="8"/>
      <c r="D34" s="16"/>
      <c r="E34" s="16"/>
      <c r="F34" s="16"/>
      <c r="G34" s="16"/>
      <c r="H34" s="16"/>
      <c r="I34" s="8"/>
      <c r="J34" s="10" t="s">
        <v>72</v>
      </c>
      <c r="K34" s="14" t="n">
        <f aca="false">G11</f>
        <v>300483</v>
      </c>
      <c r="L34" s="14" t="n">
        <f aca="false">G9</f>
        <v>892577.285290017</v>
      </c>
      <c r="M34" s="8"/>
      <c r="N34" s="8"/>
      <c r="O34" s="8"/>
    </row>
    <row r="35" customFormat="false" ht="24.75" hidden="false" customHeight="true" outlineLevel="0" collapsed="false">
      <c r="A35" s="7"/>
      <c r="B35" s="7"/>
      <c r="C35" s="8"/>
      <c r="D35" s="16"/>
      <c r="E35" s="16"/>
      <c r="F35" s="16"/>
      <c r="G35" s="16"/>
      <c r="H35" s="16"/>
      <c r="I35" s="8"/>
      <c r="J35" s="10" t="s">
        <v>73</v>
      </c>
      <c r="K35" s="14" t="n">
        <f aca="false">H11</f>
        <v>642519</v>
      </c>
      <c r="L35" s="14" t="n">
        <f aca="false">H9</f>
        <v>1392290.3865265</v>
      </c>
      <c r="M35" s="8"/>
      <c r="N35" s="8"/>
      <c r="O35" s="8"/>
    </row>
    <row r="36" customFormat="false" ht="24.75" hidden="false" customHeight="true" outlineLevel="0" collapsed="false">
      <c r="A36" s="7"/>
      <c r="B36" s="7"/>
      <c r="C36" s="8"/>
      <c r="D36" s="16"/>
      <c r="E36" s="16"/>
      <c r="F36" s="16"/>
      <c r="G36" s="16"/>
      <c r="H36" s="16"/>
      <c r="I36" s="8"/>
      <c r="J36" s="8"/>
      <c r="K36" s="8"/>
      <c r="L36" s="8"/>
      <c r="M36" s="8"/>
      <c r="N36" s="8"/>
      <c r="O36" s="8"/>
    </row>
    <row r="37" customFormat="false" ht="24.75" hidden="false" customHeight="true" outlineLevel="0" collapsed="false">
      <c r="A37" s="7"/>
      <c r="B37" s="7"/>
      <c r="C37" s="8"/>
      <c r="D37" s="16"/>
      <c r="E37" s="16"/>
      <c r="F37" s="16"/>
      <c r="G37" s="16"/>
      <c r="H37" s="16"/>
      <c r="I37" s="8"/>
      <c r="J37" s="8"/>
      <c r="K37" s="8"/>
      <c r="L37" s="8"/>
      <c r="M37" s="8"/>
      <c r="N37" s="8"/>
      <c r="O37" s="8"/>
    </row>
    <row r="38" customFormat="false" ht="24.75" hidden="false" customHeight="true" outlineLevel="0" collapsed="false">
      <c r="A38" s="7"/>
      <c r="B38" s="7"/>
      <c r="C38" s="8"/>
      <c r="D38" s="16"/>
      <c r="E38" s="16"/>
      <c r="F38" s="16"/>
      <c r="G38" s="16"/>
      <c r="H38" s="16"/>
      <c r="I38" s="8"/>
      <c r="J38" s="8"/>
      <c r="K38" s="8"/>
      <c r="L38" s="8"/>
      <c r="M38" s="8"/>
      <c r="N38" s="8"/>
      <c r="O38" s="8"/>
    </row>
    <row r="39" customFormat="false" ht="24.75" hidden="false" customHeight="true" outlineLevel="0" collapsed="false">
      <c r="A39" s="7"/>
      <c r="B39" s="7"/>
      <c r="C39" s="8"/>
      <c r="D39" s="16"/>
      <c r="E39" s="16"/>
      <c r="F39" s="16"/>
      <c r="G39" s="16"/>
      <c r="H39" s="16"/>
      <c r="I39" s="8"/>
      <c r="J39" s="8"/>
      <c r="K39" s="8"/>
      <c r="L39" s="8"/>
      <c r="M39" s="8"/>
      <c r="N39" s="8"/>
      <c r="O39" s="8"/>
    </row>
    <row r="40" customFormat="false" ht="24.75" hidden="false" customHeight="true" outlineLevel="0" collapsed="false">
      <c r="A40" s="7"/>
      <c r="B40" s="7"/>
      <c r="C40" s="8"/>
      <c r="D40" s="16"/>
      <c r="E40" s="16"/>
      <c r="F40" s="16"/>
      <c r="G40" s="16"/>
      <c r="H40" s="16"/>
      <c r="I40" s="8"/>
      <c r="J40" s="8"/>
      <c r="K40" s="8"/>
      <c r="L40" s="8"/>
      <c r="M40" s="8"/>
      <c r="N40" s="8"/>
      <c r="O40" s="8"/>
    </row>
    <row r="41" customFormat="false" ht="24.75" hidden="false" customHeight="true" outlineLevel="0" collapsed="false">
      <c r="A41" s="7"/>
      <c r="B41" s="7"/>
      <c r="C41" s="8"/>
      <c r="D41" s="16"/>
      <c r="E41" s="16"/>
      <c r="F41" s="16"/>
      <c r="G41" s="16"/>
      <c r="H41" s="16"/>
      <c r="I41" s="8"/>
      <c r="J41" s="8"/>
      <c r="K41" s="8"/>
      <c r="L41" s="8"/>
      <c r="M41" s="8"/>
      <c r="N41" s="8"/>
      <c r="O41" s="8"/>
    </row>
    <row r="42" customFormat="false" ht="24.75" hidden="false" customHeight="true" outlineLevel="0" collapsed="false">
      <c r="A42" s="7"/>
      <c r="B42" s="7"/>
      <c r="C42" s="8"/>
      <c r="D42" s="16"/>
      <c r="E42" s="16"/>
      <c r="F42" s="16"/>
      <c r="G42" s="16"/>
      <c r="H42" s="16"/>
      <c r="I42" s="8"/>
      <c r="J42" s="8"/>
      <c r="K42" s="8"/>
      <c r="L42" s="8"/>
      <c r="M42" s="8"/>
      <c r="N42" s="8"/>
      <c r="O42" s="8"/>
    </row>
    <row r="43" customFormat="false" ht="24.75" hidden="false" customHeight="true" outlineLevel="0" collapsed="false">
      <c r="A43" s="7"/>
      <c r="B43" s="7"/>
      <c r="C43" s="8"/>
      <c r="D43" s="16"/>
      <c r="E43" s="16"/>
      <c r="F43" s="16"/>
      <c r="G43" s="16"/>
      <c r="H43" s="16"/>
      <c r="I43" s="8"/>
      <c r="J43" s="8"/>
      <c r="K43" s="8"/>
      <c r="L43" s="8"/>
      <c r="M43" s="8"/>
      <c r="N43" s="8"/>
      <c r="O43" s="8"/>
    </row>
    <row r="44" customFormat="false" ht="24.75" hidden="false" customHeight="true" outlineLevel="0" collapsed="false">
      <c r="A44" s="7"/>
      <c r="B44" s="7"/>
      <c r="C44" s="8"/>
      <c r="D44" s="16"/>
      <c r="E44" s="16"/>
      <c r="F44" s="16"/>
      <c r="G44" s="16"/>
      <c r="H44" s="16"/>
      <c r="I44" s="8"/>
      <c r="J44" s="8"/>
      <c r="K44" s="8"/>
      <c r="L44" s="8"/>
      <c r="M44" s="8"/>
      <c r="N44" s="8"/>
      <c r="O44" s="8"/>
    </row>
    <row r="45" customFormat="false" ht="24.75" hidden="false" customHeight="true" outlineLevel="0" collapsed="false">
      <c r="A45" s="7"/>
      <c r="B45" s="7"/>
      <c r="C45" s="8"/>
      <c r="D45" s="16"/>
      <c r="E45" s="16"/>
      <c r="F45" s="16"/>
      <c r="G45" s="16"/>
      <c r="H45" s="16"/>
      <c r="I45" s="8"/>
      <c r="J45" s="8"/>
      <c r="K45" s="8"/>
      <c r="L45" s="8"/>
      <c r="M45" s="8"/>
      <c r="N45" s="8"/>
      <c r="O45" s="8"/>
    </row>
    <row r="46" customFormat="false" ht="24.75" hidden="false" customHeight="true" outlineLevel="0" collapsed="false">
      <c r="A46" s="7"/>
      <c r="B46" s="7"/>
      <c r="C46" s="8"/>
      <c r="D46" s="16"/>
      <c r="E46" s="16"/>
      <c r="F46" s="16"/>
      <c r="G46" s="16"/>
      <c r="H46" s="16"/>
      <c r="I46" s="8"/>
      <c r="J46" s="8"/>
      <c r="K46" s="8"/>
      <c r="L46" s="8"/>
      <c r="M46" s="8"/>
      <c r="N46" s="8"/>
      <c r="O46" s="8"/>
    </row>
    <row r="47" customFormat="false" ht="24.75" hidden="false" customHeight="true" outlineLevel="0" collapsed="false">
      <c r="A47" s="7"/>
      <c r="B47" s="7"/>
      <c r="C47" s="8"/>
      <c r="D47" s="16"/>
      <c r="E47" s="16"/>
      <c r="F47" s="16"/>
      <c r="G47" s="16"/>
      <c r="H47" s="16"/>
      <c r="I47" s="8"/>
      <c r="J47" s="8"/>
      <c r="K47" s="8"/>
      <c r="L47" s="8"/>
      <c r="M47" s="8"/>
      <c r="N47" s="8"/>
      <c r="O47" s="8"/>
    </row>
    <row r="48" customFormat="false" ht="24.75" hidden="false" customHeight="true" outlineLevel="0" collapsed="false">
      <c r="A48" s="7"/>
      <c r="B48" s="7"/>
      <c r="C48" s="8"/>
      <c r="D48" s="16"/>
      <c r="E48" s="16"/>
      <c r="F48" s="16"/>
      <c r="G48" s="16"/>
      <c r="H48" s="16"/>
      <c r="I48" s="8"/>
      <c r="J48" s="8"/>
      <c r="K48" s="8"/>
      <c r="L48" s="8"/>
      <c r="M48" s="8"/>
      <c r="N48" s="8"/>
      <c r="O48" s="8"/>
    </row>
    <row r="49" customFormat="false" ht="24.75" hidden="false" customHeight="true" outlineLevel="0" collapsed="false">
      <c r="A49" s="7"/>
      <c r="B49" s="7"/>
      <c r="C49" s="8"/>
      <c r="D49" s="16"/>
      <c r="E49" s="16"/>
      <c r="F49" s="16"/>
      <c r="G49" s="16"/>
      <c r="H49" s="16"/>
      <c r="I49" s="8"/>
      <c r="J49" s="8"/>
      <c r="K49" s="8"/>
      <c r="L49" s="8"/>
      <c r="M49" s="8"/>
      <c r="N49" s="8"/>
      <c r="O49" s="8"/>
    </row>
    <row r="50" customFormat="false" ht="24.75" hidden="false" customHeight="true" outlineLevel="0" collapsed="false">
      <c r="A50" s="7"/>
      <c r="B50" s="7"/>
      <c r="C50" s="8"/>
      <c r="D50" s="16"/>
      <c r="E50" s="16"/>
      <c r="F50" s="16"/>
      <c r="G50" s="16"/>
      <c r="H50" s="16"/>
      <c r="I50" s="8"/>
      <c r="J50" s="8"/>
      <c r="K50" s="8"/>
      <c r="L50" s="8"/>
      <c r="M50" s="8"/>
      <c r="N50" s="8"/>
      <c r="O50" s="8"/>
    </row>
    <row r="51" customFormat="false" ht="24.75" hidden="false" customHeight="true" outlineLevel="0" collapsed="false">
      <c r="A51" s="7"/>
      <c r="B51" s="7"/>
      <c r="C51" s="8"/>
      <c r="D51" s="16"/>
      <c r="E51" s="16"/>
      <c r="F51" s="16"/>
      <c r="G51" s="16"/>
      <c r="H51" s="16"/>
      <c r="I51" s="8"/>
      <c r="J51" s="8"/>
      <c r="K51" s="8"/>
      <c r="L51" s="8"/>
      <c r="M51" s="8"/>
      <c r="N51" s="8"/>
      <c r="O51" s="8"/>
    </row>
    <row r="52" customFormat="false" ht="24.75" hidden="false" customHeight="true" outlineLevel="0" collapsed="false">
      <c r="A52" s="7"/>
      <c r="B52" s="7"/>
      <c r="C52" s="8"/>
      <c r="D52" s="16"/>
      <c r="E52" s="16"/>
      <c r="F52" s="16"/>
      <c r="G52" s="16"/>
      <c r="H52" s="16"/>
      <c r="I52" s="8"/>
      <c r="J52" s="8"/>
      <c r="K52" s="8"/>
      <c r="L52" s="8"/>
      <c r="M52" s="8"/>
      <c r="N52" s="8"/>
      <c r="O52" s="8"/>
    </row>
    <row r="53" customFormat="false" ht="24.75" hidden="false" customHeight="true" outlineLevel="0" collapsed="false">
      <c r="A53" s="7"/>
      <c r="B53" s="7"/>
      <c r="C53" s="8"/>
      <c r="D53" s="16"/>
      <c r="E53" s="16"/>
      <c r="F53" s="16"/>
      <c r="G53" s="16"/>
      <c r="H53" s="16"/>
      <c r="I53" s="8"/>
      <c r="J53" s="8"/>
      <c r="K53" s="8"/>
      <c r="L53" s="8"/>
      <c r="M53" s="8"/>
      <c r="N53" s="8"/>
      <c r="O53" s="8"/>
    </row>
    <row r="54" customFormat="false" ht="24.75" hidden="false" customHeight="true" outlineLevel="0" collapsed="false">
      <c r="A54" s="7"/>
      <c r="B54" s="7"/>
      <c r="C54" s="8"/>
      <c r="D54" s="16"/>
      <c r="E54" s="16"/>
      <c r="F54" s="16"/>
      <c r="G54" s="16"/>
      <c r="H54" s="16"/>
      <c r="I54" s="8"/>
      <c r="J54" s="8"/>
      <c r="K54" s="8"/>
      <c r="L54" s="8"/>
      <c r="M54" s="8"/>
      <c r="N54" s="8"/>
      <c r="O54" s="8"/>
    </row>
    <row r="55" customFormat="false" ht="24.75" hidden="false" customHeight="true" outlineLevel="0" collapsed="false">
      <c r="A55" s="7"/>
      <c r="B55" s="7"/>
      <c r="C55" s="8"/>
      <c r="D55" s="16"/>
      <c r="E55" s="16"/>
      <c r="F55" s="16"/>
      <c r="G55" s="16"/>
      <c r="H55" s="16"/>
      <c r="I55" s="8"/>
      <c r="J55" s="8"/>
      <c r="K55" s="8"/>
      <c r="L55" s="8"/>
      <c r="M55" s="8"/>
      <c r="N55" s="8"/>
      <c r="O55" s="8"/>
    </row>
    <row r="56" customFormat="false" ht="24.75" hidden="false" customHeight="true" outlineLevel="0" collapsed="false">
      <c r="A56" s="7"/>
      <c r="B56" s="7"/>
      <c r="C56" s="8"/>
      <c r="D56" s="16"/>
      <c r="E56" s="16"/>
      <c r="F56" s="16"/>
      <c r="G56" s="16"/>
      <c r="H56" s="16"/>
      <c r="I56" s="8"/>
      <c r="J56" s="8"/>
      <c r="K56" s="8"/>
      <c r="L56" s="8"/>
      <c r="M56" s="8"/>
      <c r="N56" s="8"/>
      <c r="O56" s="8"/>
    </row>
    <row r="57" customFormat="false" ht="24.75" hidden="false" customHeight="true" outlineLevel="0" collapsed="false">
      <c r="A57" s="7"/>
      <c r="B57" s="7"/>
      <c r="C57" s="8"/>
      <c r="D57" s="16"/>
      <c r="E57" s="16"/>
      <c r="F57" s="16"/>
      <c r="G57" s="16"/>
      <c r="H57" s="16"/>
      <c r="I57" s="8"/>
      <c r="J57" s="8"/>
      <c r="K57" s="8"/>
      <c r="L57" s="8"/>
      <c r="M57" s="8"/>
      <c r="N57" s="8"/>
      <c r="O57" s="8"/>
    </row>
    <row r="58" customFormat="false" ht="24.75" hidden="false" customHeight="true" outlineLevel="0" collapsed="false">
      <c r="A58" s="7"/>
      <c r="B58" s="7"/>
      <c r="C58" s="8"/>
      <c r="D58" s="16"/>
      <c r="E58" s="16"/>
      <c r="F58" s="16"/>
      <c r="G58" s="16"/>
      <c r="H58" s="16"/>
      <c r="I58" s="8"/>
      <c r="J58" s="8"/>
      <c r="K58" s="8"/>
      <c r="L58" s="8"/>
      <c r="M58" s="8"/>
      <c r="N58" s="8"/>
      <c r="O58" s="8"/>
    </row>
    <row r="59" customFormat="false" ht="24.75" hidden="false" customHeight="true" outlineLevel="0" collapsed="false">
      <c r="A59" s="7"/>
      <c r="B59" s="7"/>
      <c r="C59" s="8"/>
      <c r="D59" s="16"/>
      <c r="E59" s="16"/>
      <c r="F59" s="16"/>
      <c r="G59" s="16"/>
      <c r="H59" s="16"/>
      <c r="I59" s="8"/>
      <c r="J59" s="8"/>
      <c r="K59" s="8"/>
      <c r="L59" s="8"/>
      <c r="M59" s="8"/>
      <c r="N59" s="8"/>
      <c r="O59" s="8"/>
    </row>
    <row r="60" customFormat="false" ht="24.75" hidden="false" customHeight="true" outlineLevel="0" collapsed="false">
      <c r="A60" s="7"/>
      <c r="B60" s="7"/>
      <c r="C60" s="8"/>
      <c r="D60" s="16"/>
      <c r="E60" s="16"/>
      <c r="F60" s="16"/>
      <c r="G60" s="16"/>
      <c r="H60" s="16"/>
      <c r="I60" s="8"/>
      <c r="J60" s="8"/>
      <c r="K60" s="8"/>
      <c r="L60" s="8"/>
      <c r="M60" s="8"/>
      <c r="N60" s="8"/>
      <c r="O60" s="8"/>
    </row>
    <row r="61" customFormat="false" ht="24.75" hidden="false" customHeight="true" outlineLevel="0" collapsed="false">
      <c r="A61" s="7"/>
      <c r="B61" s="7"/>
      <c r="C61" s="8"/>
      <c r="D61" s="16"/>
      <c r="E61" s="16"/>
      <c r="F61" s="16"/>
      <c r="G61" s="16"/>
      <c r="H61" s="16"/>
      <c r="I61" s="8"/>
      <c r="J61" s="8"/>
      <c r="K61" s="8"/>
      <c r="L61" s="8"/>
      <c r="M61" s="8"/>
      <c r="N61" s="8"/>
      <c r="O61" s="8"/>
    </row>
    <row r="62" customFormat="false" ht="24.75" hidden="false" customHeight="true" outlineLevel="0" collapsed="false">
      <c r="A62" s="7"/>
      <c r="B62" s="7"/>
      <c r="C62" s="8"/>
      <c r="D62" s="16"/>
      <c r="E62" s="16"/>
      <c r="F62" s="16"/>
      <c r="G62" s="16"/>
      <c r="H62" s="16"/>
      <c r="I62" s="8"/>
      <c r="J62" s="8"/>
      <c r="K62" s="8"/>
      <c r="L62" s="8"/>
      <c r="M62" s="8"/>
      <c r="N62" s="8"/>
      <c r="O62" s="8"/>
    </row>
    <row r="63" customFormat="false" ht="24.75" hidden="false" customHeight="true" outlineLevel="0" collapsed="false">
      <c r="A63" s="7"/>
      <c r="B63" s="7"/>
      <c r="C63" s="8"/>
      <c r="D63" s="16"/>
      <c r="E63" s="16"/>
      <c r="F63" s="16"/>
      <c r="G63" s="16"/>
      <c r="H63" s="16"/>
      <c r="I63" s="8"/>
      <c r="J63" s="8"/>
      <c r="K63" s="8"/>
      <c r="L63" s="8"/>
      <c r="M63" s="8"/>
      <c r="N63" s="8"/>
      <c r="O63" s="8"/>
    </row>
    <row r="64" customFormat="false" ht="24.75" hidden="false" customHeight="true" outlineLevel="0" collapsed="false">
      <c r="A64" s="7"/>
      <c r="B64" s="7"/>
      <c r="C64" s="8"/>
      <c r="D64" s="16"/>
      <c r="E64" s="16"/>
      <c r="F64" s="16"/>
      <c r="G64" s="16"/>
      <c r="H64" s="16"/>
      <c r="I64" s="8"/>
      <c r="J64" s="8"/>
      <c r="K64" s="8"/>
      <c r="L64" s="8"/>
      <c r="M64" s="8"/>
      <c r="N64" s="8"/>
      <c r="O64" s="8"/>
    </row>
    <row r="65" customFormat="false" ht="24.75" hidden="false" customHeight="true" outlineLevel="0" collapsed="false">
      <c r="A65" s="7"/>
      <c r="B65" s="7"/>
      <c r="C65" s="8"/>
      <c r="D65" s="16"/>
      <c r="E65" s="16"/>
      <c r="F65" s="16"/>
      <c r="G65" s="16"/>
      <c r="H65" s="16"/>
      <c r="I65" s="8"/>
      <c r="J65" s="8"/>
      <c r="K65" s="8"/>
      <c r="L65" s="8"/>
      <c r="M65" s="8"/>
      <c r="N65" s="8"/>
      <c r="O65" s="8"/>
    </row>
    <row r="66" customFormat="false" ht="24.75" hidden="false" customHeight="true" outlineLevel="0" collapsed="false">
      <c r="A66" s="7"/>
      <c r="B66" s="7"/>
      <c r="C66" s="8"/>
      <c r="D66" s="16"/>
      <c r="E66" s="16"/>
      <c r="F66" s="16"/>
      <c r="G66" s="16"/>
      <c r="H66" s="16"/>
      <c r="I66" s="8"/>
      <c r="J66" s="8"/>
      <c r="K66" s="8"/>
      <c r="L66" s="8"/>
      <c r="M66" s="8"/>
      <c r="N66" s="8"/>
      <c r="O66" s="8"/>
    </row>
    <row r="67" customFormat="false" ht="24.75" hidden="false" customHeight="true" outlineLevel="0" collapsed="false">
      <c r="A67" s="7"/>
      <c r="B67" s="7"/>
      <c r="C67" s="8"/>
      <c r="D67" s="16"/>
      <c r="E67" s="16"/>
      <c r="F67" s="16"/>
      <c r="G67" s="16"/>
      <c r="H67" s="16"/>
      <c r="I67" s="8"/>
      <c r="J67" s="8"/>
      <c r="K67" s="8"/>
      <c r="L67" s="8"/>
      <c r="M67" s="8"/>
      <c r="N67" s="8"/>
      <c r="O67" s="8"/>
    </row>
    <row r="68" customFormat="false" ht="24.75" hidden="false" customHeight="true" outlineLevel="0" collapsed="false">
      <c r="A68" s="7"/>
      <c r="B68" s="7"/>
      <c r="C68" s="8"/>
      <c r="D68" s="16"/>
      <c r="E68" s="16"/>
      <c r="F68" s="16"/>
      <c r="G68" s="16"/>
      <c r="H68" s="16"/>
      <c r="I68" s="8"/>
      <c r="J68" s="8"/>
      <c r="K68" s="8"/>
      <c r="L68" s="8"/>
      <c r="M68" s="8"/>
      <c r="N68" s="8"/>
      <c r="O68" s="8"/>
    </row>
    <row r="69" customFormat="false" ht="24.75" hidden="false" customHeight="true" outlineLevel="0" collapsed="false">
      <c r="A69" s="7"/>
      <c r="B69" s="7"/>
      <c r="C69" s="8"/>
      <c r="D69" s="16"/>
      <c r="E69" s="16"/>
      <c r="F69" s="16"/>
      <c r="G69" s="16"/>
      <c r="H69" s="16"/>
      <c r="I69" s="8"/>
      <c r="J69" s="8"/>
      <c r="K69" s="8"/>
      <c r="L69" s="8"/>
      <c r="M69" s="8"/>
      <c r="N69" s="8"/>
      <c r="O69" s="8"/>
    </row>
    <row r="70" customFormat="false" ht="24.75" hidden="false" customHeight="true" outlineLevel="0" collapsed="false">
      <c r="A70" s="7"/>
      <c r="B70" s="7"/>
      <c r="C70" s="8"/>
      <c r="D70" s="16"/>
      <c r="E70" s="16"/>
      <c r="F70" s="16"/>
      <c r="G70" s="16"/>
      <c r="H70" s="16"/>
      <c r="I70" s="8"/>
      <c r="J70" s="8"/>
      <c r="K70" s="8"/>
      <c r="L70" s="8"/>
      <c r="M70" s="8"/>
      <c r="N70" s="8"/>
      <c r="O70" s="8"/>
    </row>
    <row r="71" customFormat="false" ht="24.75" hidden="false" customHeight="true" outlineLevel="0" collapsed="false">
      <c r="A71" s="7"/>
      <c r="B71" s="7"/>
      <c r="C71" s="8"/>
      <c r="D71" s="16"/>
      <c r="E71" s="16"/>
      <c r="F71" s="16"/>
      <c r="G71" s="16"/>
      <c r="H71" s="16"/>
      <c r="I71" s="8"/>
      <c r="J71" s="8"/>
      <c r="K71" s="8"/>
      <c r="L71" s="8"/>
      <c r="M71" s="8"/>
      <c r="N71" s="8"/>
      <c r="O71" s="8"/>
    </row>
    <row r="72" customFormat="false" ht="24.75" hidden="false" customHeight="true" outlineLevel="0" collapsed="false">
      <c r="A72" s="7"/>
      <c r="B72" s="7"/>
      <c r="C72" s="8"/>
      <c r="D72" s="16"/>
      <c r="E72" s="16"/>
      <c r="F72" s="16"/>
      <c r="G72" s="16"/>
      <c r="H72" s="16"/>
      <c r="I72" s="8"/>
      <c r="J72" s="8"/>
      <c r="K72" s="8"/>
      <c r="L72" s="8"/>
      <c r="M72" s="8"/>
      <c r="N72" s="8"/>
      <c r="O72" s="8"/>
    </row>
    <row r="73" customFormat="false" ht="24.75" hidden="false" customHeight="true" outlineLevel="0" collapsed="false">
      <c r="A73" s="7"/>
      <c r="B73" s="7"/>
      <c r="C73" s="8"/>
      <c r="D73" s="16"/>
      <c r="E73" s="16"/>
      <c r="F73" s="16"/>
      <c r="G73" s="16"/>
      <c r="H73" s="16"/>
      <c r="I73" s="8"/>
      <c r="J73" s="8"/>
      <c r="K73" s="8"/>
      <c r="L73" s="8"/>
      <c r="M73" s="8"/>
      <c r="N73" s="8"/>
      <c r="O73" s="8"/>
    </row>
    <row r="74" customFormat="false" ht="24.75" hidden="false" customHeight="true" outlineLevel="0" collapsed="false">
      <c r="A74" s="7"/>
      <c r="B74" s="7"/>
      <c r="C74" s="8"/>
      <c r="D74" s="16"/>
      <c r="E74" s="16"/>
      <c r="F74" s="16"/>
      <c r="G74" s="16"/>
      <c r="H74" s="16"/>
      <c r="I74" s="8"/>
      <c r="J74" s="8"/>
      <c r="K74" s="8"/>
      <c r="L74" s="8"/>
      <c r="M74" s="8"/>
      <c r="N74" s="8"/>
      <c r="O74" s="8"/>
    </row>
    <row r="75" customFormat="false" ht="24.75" hidden="false" customHeight="true" outlineLevel="0" collapsed="false">
      <c r="A75" s="7"/>
      <c r="B75" s="7"/>
      <c r="C75" s="8"/>
      <c r="D75" s="16"/>
      <c r="E75" s="16"/>
      <c r="F75" s="16"/>
      <c r="G75" s="16"/>
      <c r="H75" s="16"/>
      <c r="I75" s="8"/>
      <c r="J75" s="8"/>
      <c r="K75" s="8"/>
      <c r="L75" s="8"/>
      <c r="M75" s="8"/>
      <c r="N75" s="8"/>
      <c r="O75" s="8"/>
    </row>
    <row r="76" customFormat="false" ht="24.75" hidden="false" customHeight="true" outlineLevel="0" collapsed="false">
      <c r="A76" s="7"/>
      <c r="B76" s="7"/>
      <c r="C76" s="8"/>
      <c r="D76" s="16"/>
      <c r="E76" s="16"/>
      <c r="F76" s="16"/>
      <c r="G76" s="16"/>
      <c r="H76" s="16"/>
      <c r="I76" s="8"/>
      <c r="J76" s="8"/>
      <c r="K76" s="8"/>
      <c r="L76" s="8"/>
      <c r="M76" s="8"/>
      <c r="N76" s="8"/>
      <c r="O76" s="8"/>
    </row>
    <row r="77" customFormat="false" ht="24.75" hidden="false" customHeight="true" outlineLevel="0" collapsed="false">
      <c r="A77" s="7"/>
      <c r="B77" s="7"/>
      <c r="C77" s="8"/>
      <c r="D77" s="16"/>
      <c r="E77" s="16"/>
      <c r="F77" s="16"/>
      <c r="G77" s="16"/>
      <c r="H77" s="16"/>
      <c r="I77" s="8"/>
      <c r="J77" s="8"/>
      <c r="K77" s="8"/>
      <c r="L77" s="8"/>
      <c r="M77" s="8"/>
      <c r="N77" s="8"/>
      <c r="O77" s="8"/>
    </row>
    <row r="78" customFormat="false" ht="24.75" hidden="false" customHeight="true" outlineLevel="0" collapsed="false">
      <c r="A78" s="7"/>
      <c r="B78" s="7"/>
      <c r="C78" s="8"/>
      <c r="D78" s="16"/>
      <c r="E78" s="16"/>
      <c r="F78" s="16"/>
      <c r="G78" s="16"/>
      <c r="H78" s="16"/>
      <c r="I78" s="8"/>
      <c r="J78" s="8"/>
      <c r="K78" s="8"/>
      <c r="L78" s="8"/>
      <c r="M78" s="8"/>
      <c r="N78" s="8"/>
      <c r="O78" s="8"/>
    </row>
    <row r="79" customFormat="false" ht="24.75" hidden="false" customHeight="true" outlineLevel="0" collapsed="false">
      <c r="A79" s="7"/>
      <c r="B79" s="7"/>
      <c r="C79" s="8"/>
      <c r="D79" s="16"/>
      <c r="E79" s="16"/>
      <c r="F79" s="16"/>
      <c r="G79" s="16"/>
      <c r="H79" s="16"/>
      <c r="I79" s="8"/>
      <c r="J79" s="8"/>
      <c r="K79" s="8"/>
      <c r="L79" s="8"/>
      <c r="M79" s="8"/>
      <c r="N79" s="8"/>
      <c r="O79" s="8"/>
    </row>
    <row r="80" customFormat="false" ht="24.75" hidden="false" customHeight="true" outlineLevel="0" collapsed="false">
      <c r="A80" s="7"/>
      <c r="B80" s="7"/>
      <c r="C80" s="8"/>
      <c r="D80" s="16"/>
      <c r="E80" s="16"/>
      <c r="F80" s="16"/>
      <c r="G80" s="16"/>
      <c r="H80" s="16"/>
      <c r="I80" s="8"/>
      <c r="J80" s="8"/>
      <c r="K80" s="8"/>
      <c r="L80" s="8"/>
      <c r="M80" s="8"/>
      <c r="N80" s="8"/>
      <c r="O80" s="8"/>
    </row>
    <row r="81" customFormat="false" ht="24.75" hidden="false" customHeight="true" outlineLevel="0" collapsed="false">
      <c r="A81" s="7"/>
      <c r="B81" s="7"/>
      <c r="C81" s="8"/>
      <c r="D81" s="16"/>
      <c r="E81" s="16"/>
      <c r="F81" s="16"/>
      <c r="G81" s="16"/>
      <c r="H81" s="16"/>
      <c r="I81" s="8"/>
      <c r="J81" s="8"/>
      <c r="K81" s="8"/>
      <c r="L81" s="8"/>
      <c r="M81" s="8"/>
      <c r="N81" s="8"/>
      <c r="O81" s="8"/>
    </row>
    <row r="82" customFormat="false" ht="24.75" hidden="false" customHeight="true" outlineLevel="0" collapsed="false">
      <c r="A82" s="7"/>
      <c r="B82" s="7"/>
      <c r="C82" s="8"/>
      <c r="D82" s="16"/>
      <c r="E82" s="16"/>
      <c r="F82" s="16"/>
      <c r="G82" s="16"/>
      <c r="H82" s="16"/>
      <c r="I82" s="8"/>
      <c r="J82" s="8"/>
      <c r="K82" s="8"/>
      <c r="L82" s="8"/>
      <c r="M82" s="8"/>
      <c r="N82" s="8"/>
      <c r="O82" s="8"/>
    </row>
    <row r="83" customFormat="false" ht="24.75" hidden="false" customHeight="true" outlineLevel="0" collapsed="false">
      <c r="A83" s="7"/>
      <c r="B83" s="7"/>
      <c r="C83" s="8"/>
      <c r="D83" s="16"/>
      <c r="E83" s="16"/>
      <c r="F83" s="16"/>
      <c r="G83" s="16"/>
      <c r="H83" s="16"/>
      <c r="I83" s="8"/>
      <c r="J83" s="8"/>
      <c r="K83" s="8"/>
      <c r="L83" s="8"/>
      <c r="M83" s="8"/>
      <c r="N83" s="8"/>
      <c r="O83" s="8"/>
    </row>
    <row r="84" customFormat="false" ht="24.75" hidden="false" customHeight="true" outlineLevel="0" collapsed="false">
      <c r="A84" s="7"/>
      <c r="B84" s="7"/>
      <c r="C84" s="8"/>
      <c r="D84" s="16"/>
      <c r="E84" s="16"/>
      <c r="F84" s="16"/>
      <c r="G84" s="16"/>
      <c r="H84" s="16"/>
      <c r="I84" s="8"/>
      <c r="J84" s="8"/>
      <c r="K84" s="8"/>
      <c r="L84" s="8"/>
      <c r="M84" s="8"/>
      <c r="N84" s="8"/>
      <c r="O84" s="8"/>
    </row>
    <row r="85" customFormat="false" ht="24.75" hidden="false" customHeight="true" outlineLevel="0" collapsed="false">
      <c r="A85" s="7"/>
      <c r="B85" s="7"/>
      <c r="C85" s="8"/>
      <c r="D85" s="16"/>
      <c r="E85" s="16"/>
      <c r="F85" s="16"/>
      <c r="G85" s="16"/>
      <c r="H85" s="16"/>
      <c r="I85" s="8"/>
      <c r="J85" s="8"/>
      <c r="K85" s="8"/>
      <c r="L85" s="8"/>
      <c r="M85" s="8"/>
      <c r="N85" s="8"/>
      <c r="O85" s="8"/>
    </row>
    <row r="86" customFormat="false" ht="24.75" hidden="false" customHeight="true" outlineLevel="0" collapsed="false">
      <c r="A86" s="7"/>
      <c r="B86" s="7"/>
      <c r="C86" s="8"/>
      <c r="D86" s="16"/>
      <c r="E86" s="16"/>
      <c r="F86" s="16"/>
      <c r="G86" s="16"/>
      <c r="H86" s="16"/>
      <c r="I86" s="8"/>
      <c r="J86" s="8"/>
      <c r="K86" s="8"/>
      <c r="L86" s="8"/>
      <c r="M86" s="8"/>
      <c r="N86" s="8"/>
      <c r="O86" s="8"/>
    </row>
    <row r="87" customFormat="false" ht="24.75" hidden="false" customHeight="true" outlineLevel="0" collapsed="false">
      <c r="A87" s="7"/>
      <c r="B87" s="7"/>
      <c r="C87" s="8"/>
      <c r="D87" s="16"/>
      <c r="E87" s="16"/>
      <c r="F87" s="16"/>
      <c r="G87" s="16"/>
      <c r="H87" s="16"/>
      <c r="I87" s="8"/>
      <c r="J87" s="8"/>
      <c r="K87" s="8"/>
      <c r="L87" s="8"/>
      <c r="M87" s="8"/>
      <c r="N87" s="8"/>
      <c r="O87" s="8"/>
    </row>
    <row r="88" customFormat="false" ht="24.75" hidden="false" customHeight="true" outlineLevel="0" collapsed="false">
      <c r="A88" s="7"/>
      <c r="B88" s="7"/>
      <c r="C88" s="8"/>
      <c r="D88" s="16"/>
      <c r="E88" s="16"/>
      <c r="F88" s="16"/>
      <c r="G88" s="16"/>
      <c r="H88" s="16"/>
      <c r="I88" s="8"/>
      <c r="J88" s="8"/>
      <c r="K88" s="8"/>
      <c r="L88" s="8"/>
      <c r="M88" s="8"/>
      <c r="N88" s="8"/>
      <c r="O88" s="8"/>
    </row>
    <row r="89" customFormat="false" ht="24.75" hidden="false" customHeight="true" outlineLevel="0" collapsed="false">
      <c r="A89" s="7"/>
      <c r="B89" s="7"/>
      <c r="C89" s="8"/>
      <c r="D89" s="16"/>
      <c r="E89" s="16"/>
      <c r="F89" s="16"/>
      <c r="G89" s="16"/>
      <c r="H89" s="16"/>
      <c r="I89" s="8"/>
      <c r="J89" s="8"/>
      <c r="K89" s="8"/>
      <c r="L89" s="8"/>
      <c r="M89" s="8"/>
      <c r="N89" s="8"/>
      <c r="O89" s="8"/>
    </row>
    <row r="90" customFormat="false" ht="24.75" hidden="false" customHeight="true" outlineLevel="0" collapsed="false">
      <c r="A90" s="7"/>
      <c r="B90" s="7"/>
      <c r="C90" s="8"/>
      <c r="D90" s="16"/>
      <c r="E90" s="16"/>
      <c r="F90" s="16"/>
      <c r="G90" s="16"/>
      <c r="H90" s="16"/>
      <c r="I90" s="8"/>
      <c r="J90" s="8"/>
      <c r="K90" s="8"/>
      <c r="L90" s="8"/>
      <c r="M90" s="8"/>
      <c r="N90" s="8"/>
      <c r="O90" s="8"/>
    </row>
    <row r="91" customFormat="false" ht="24.75" hidden="false" customHeight="true" outlineLevel="0" collapsed="false">
      <c r="A91" s="7"/>
      <c r="B91" s="7"/>
      <c r="C91" s="8"/>
      <c r="D91" s="16"/>
      <c r="E91" s="16"/>
      <c r="F91" s="16"/>
      <c r="G91" s="16"/>
      <c r="H91" s="16"/>
      <c r="I91" s="8"/>
      <c r="J91" s="8"/>
      <c r="K91" s="8"/>
      <c r="L91" s="8"/>
      <c r="M91" s="8"/>
      <c r="N91" s="8"/>
      <c r="O91" s="8"/>
    </row>
    <row r="92" customFormat="false" ht="24.75" hidden="false" customHeight="true" outlineLevel="0" collapsed="false">
      <c r="A92" s="7"/>
      <c r="B92" s="7"/>
      <c r="C92" s="8"/>
      <c r="D92" s="16"/>
      <c r="E92" s="16"/>
      <c r="F92" s="16"/>
      <c r="G92" s="16"/>
      <c r="H92" s="16"/>
      <c r="I92" s="8"/>
      <c r="J92" s="8"/>
      <c r="K92" s="8"/>
      <c r="L92" s="8"/>
      <c r="M92" s="8"/>
      <c r="N92" s="8"/>
      <c r="O92" s="8"/>
    </row>
    <row r="93" customFormat="false" ht="24.75" hidden="false" customHeight="true" outlineLevel="0" collapsed="false">
      <c r="A93" s="7"/>
      <c r="B93" s="7"/>
      <c r="C93" s="8"/>
      <c r="D93" s="16"/>
      <c r="E93" s="16"/>
      <c r="F93" s="16"/>
      <c r="G93" s="16"/>
      <c r="H93" s="16"/>
      <c r="I93" s="8"/>
      <c r="J93" s="8"/>
      <c r="K93" s="8"/>
      <c r="L93" s="8"/>
      <c r="M93" s="8"/>
      <c r="N93" s="8"/>
      <c r="O93" s="8"/>
    </row>
    <row r="94" customFormat="false" ht="24.75" hidden="false" customHeight="true" outlineLevel="0" collapsed="false">
      <c r="A94" s="7"/>
      <c r="B94" s="7"/>
      <c r="C94" s="8"/>
      <c r="D94" s="16"/>
      <c r="E94" s="16"/>
      <c r="F94" s="16"/>
      <c r="G94" s="16"/>
      <c r="H94" s="16"/>
      <c r="I94" s="8"/>
      <c r="J94" s="8"/>
      <c r="K94" s="8"/>
      <c r="L94" s="8"/>
      <c r="M94" s="8"/>
      <c r="N94" s="8"/>
      <c r="O94" s="8"/>
    </row>
    <row r="95" customFormat="false" ht="24.75" hidden="false" customHeight="true" outlineLevel="0" collapsed="false">
      <c r="A95" s="7"/>
      <c r="B95" s="7"/>
      <c r="C95" s="8"/>
      <c r="D95" s="16"/>
      <c r="E95" s="16"/>
      <c r="F95" s="16"/>
      <c r="G95" s="16"/>
      <c r="H95" s="16"/>
      <c r="I95" s="8"/>
      <c r="J95" s="8"/>
      <c r="K95" s="8"/>
      <c r="L95" s="8"/>
      <c r="M95" s="8"/>
      <c r="N95" s="8"/>
      <c r="O95" s="8"/>
    </row>
    <row r="96" customFormat="false" ht="24.75" hidden="false" customHeight="true" outlineLevel="0" collapsed="false">
      <c r="A96" s="7"/>
      <c r="B96" s="7"/>
      <c r="C96" s="8"/>
      <c r="D96" s="16"/>
      <c r="E96" s="16"/>
      <c r="F96" s="16"/>
      <c r="G96" s="16"/>
      <c r="H96" s="16"/>
      <c r="I96" s="8"/>
      <c r="J96" s="8"/>
      <c r="K96" s="8"/>
      <c r="L96" s="8"/>
      <c r="M96" s="8"/>
      <c r="N96" s="8"/>
      <c r="O96" s="8"/>
    </row>
    <row r="97" customFormat="false" ht="24.75" hidden="false" customHeight="true" outlineLevel="0" collapsed="false">
      <c r="A97" s="7"/>
      <c r="B97" s="7"/>
      <c r="C97" s="8"/>
      <c r="D97" s="16"/>
      <c r="E97" s="16"/>
      <c r="F97" s="16"/>
      <c r="G97" s="16"/>
      <c r="H97" s="16"/>
      <c r="I97" s="8"/>
      <c r="J97" s="8"/>
      <c r="K97" s="8"/>
      <c r="L97" s="8"/>
      <c r="M97" s="8"/>
      <c r="N97" s="8"/>
      <c r="O97" s="8"/>
    </row>
    <row r="98" customFormat="false" ht="24.75" hidden="false" customHeight="true" outlineLevel="0" collapsed="false">
      <c r="A98" s="7"/>
      <c r="B98" s="7"/>
      <c r="C98" s="8"/>
      <c r="D98" s="16"/>
      <c r="E98" s="16"/>
      <c r="F98" s="16"/>
      <c r="G98" s="16"/>
      <c r="H98" s="16"/>
      <c r="I98" s="8"/>
      <c r="J98" s="8"/>
      <c r="K98" s="8"/>
      <c r="L98" s="8"/>
      <c r="M98" s="8"/>
      <c r="N98" s="8"/>
      <c r="O98" s="8"/>
    </row>
    <row r="99" customFormat="false" ht="24.75" hidden="false" customHeight="true" outlineLevel="0" collapsed="false">
      <c r="A99" s="7"/>
      <c r="B99" s="7"/>
      <c r="C99" s="8"/>
      <c r="D99" s="16"/>
      <c r="E99" s="16"/>
      <c r="F99" s="16"/>
      <c r="G99" s="16"/>
      <c r="H99" s="16"/>
      <c r="I99" s="8"/>
      <c r="J99" s="8"/>
      <c r="K99" s="8"/>
      <c r="L99" s="8"/>
      <c r="M99" s="8"/>
      <c r="N99" s="8"/>
      <c r="O99" s="8"/>
    </row>
    <row r="100" customFormat="false" ht="24.75" hidden="false" customHeight="true" outlineLevel="0" collapsed="false">
      <c r="A100" s="7"/>
      <c r="B100" s="7"/>
      <c r="C100" s="8"/>
      <c r="D100" s="16"/>
      <c r="E100" s="16"/>
      <c r="F100" s="16"/>
      <c r="G100" s="16"/>
      <c r="H100" s="16"/>
      <c r="I100" s="8"/>
      <c r="J100" s="8"/>
      <c r="K100" s="8"/>
      <c r="L100" s="8"/>
      <c r="M100" s="8"/>
      <c r="N100" s="8"/>
      <c r="O100" s="8"/>
    </row>
    <row r="101" customFormat="false" ht="24.75" hidden="false" customHeight="true" outlineLevel="0" collapsed="false">
      <c r="A101" s="7"/>
      <c r="B101" s="7"/>
      <c r="C101" s="8"/>
      <c r="D101" s="16"/>
      <c r="E101" s="16"/>
      <c r="F101" s="16"/>
      <c r="G101" s="16"/>
      <c r="H101" s="16"/>
      <c r="I101" s="8"/>
      <c r="J101" s="8"/>
      <c r="K101" s="8"/>
      <c r="L101" s="8"/>
      <c r="M101" s="8"/>
      <c r="N101" s="8"/>
      <c r="O101" s="8"/>
    </row>
    <row r="102" customFormat="false" ht="24.75" hidden="false" customHeight="true" outlineLevel="0" collapsed="false">
      <c r="A102" s="7"/>
      <c r="B102" s="7"/>
      <c r="C102" s="8"/>
      <c r="D102" s="16"/>
      <c r="E102" s="16"/>
      <c r="F102" s="16"/>
      <c r="G102" s="16"/>
      <c r="H102" s="16"/>
      <c r="I102" s="8"/>
      <c r="J102" s="8"/>
      <c r="K102" s="8"/>
      <c r="L102" s="8"/>
      <c r="M102" s="8"/>
      <c r="N102" s="8"/>
      <c r="O102" s="8"/>
    </row>
    <row r="103" customFormat="false" ht="24.75" hidden="false" customHeight="true" outlineLevel="0" collapsed="false">
      <c r="A103" s="7"/>
      <c r="B103" s="7"/>
      <c r="C103" s="8"/>
      <c r="D103" s="16"/>
      <c r="E103" s="16"/>
      <c r="F103" s="16"/>
      <c r="G103" s="16"/>
      <c r="H103" s="16"/>
      <c r="I103" s="8"/>
      <c r="J103" s="8"/>
      <c r="K103" s="8"/>
      <c r="L103" s="8"/>
      <c r="M103" s="8"/>
      <c r="N103" s="8"/>
      <c r="O103" s="8"/>
    </row>
    <row r="104" customFormat="false" ht="24.75" hidden="false" customHeight="true" outlineLevel="0" collapsed="false">
      <c r="A104" s="7"/>
      <c r="B104" s="7"/>
      <c r="C104" s="8"/>
      <c r="D104" s="16"/>
      <c r="E104" s="16"/>
      <c r="F104" s="16"/>
      <c r="G104" s="16"/>
      <c r="H104" s="16"/>
      <c r="I104" s="8"/>
      <c r="J104" s="8"/>
      <c r="K104" s="8"/>
      <c r="L104" s="8"/>
      <c r="M104" s="8"/>
      <c r="N104" s="8"/>
      <c r="O104" s="8"/>
    </row>
    <row r="105" customFormat="false" ht="24.75" hidden="false" customHeight="true" outlineLevel="0" collapsed="false">
      <c r="A105" s="7"/>
      <c r="B105" s="7"/>
      <c r="C105" s="8"/>
      <c r="D105" s="16"/>
      <c r="E105" s="16"/>
      <c r="F105" s="16"/>
      <c r="G105" s="16"/>
      <c r="H105" s="16"/>
      <c r="I105" s="8"/>
      <c r="J105" s="8"/>
      <c r="K105" s="8"/>
      <c r="L105" s="8"/>
      <c r="M105" s="8"/>
      <c r="N105" s="8"/>
      <c r="O105" s="8"/>
    </row>
    <row r="106" customFormat="false" ht="24.75" hidden="false" customHeight="true" outlineLevel="0" collapsed="false">
      <c r="A106" s="7"/>
      <c r="B106" s="7"/>
      <c r="C106" s="8"/>
      <c r="D106" s="16"/>
      <c r="E106" s="16"/>
      <c r="F106" s="16"/>
      <c r="G106" s="16"/>
      <c r="H106" s="16"/>
      <c r="I106" s="8"/>
      <c r="J106" s="8"/>
      <c r="K106" s="8"/>
      <c r="L106" s="8"/>
      <c r="M106" s="8"/>
      <c r="N106" s="8"/>
      <c r="O106" s="8"/>
    </row>
    <row r="107" customFormat="false" ht="24.75" hidden="false" customHeight="true" outlineLevel="0" collapsed="false">
      <c r="A107" s="7"/>
      <c r="B107" s="7"/>
      <c r="C107" s="8"/>
      <c r="D107" s="16"/>
      <c r="E107" s="16"/>
      <c r="F107" s="16"/>
      <c r="G107" s="16"/>
      <c r="H107" s="16"/>
      <c r="I107" s="8"/>
      <c r="J107" s="8"/>
      <c r="K107" s="8"/>
      <c r="L107" s="8"/>
      <c r="M107" s="8"/>
      <c r="N107" s="8"/>
      <c r="O107" s="8"/>
    </row>
    <row r="108" customFormat="false" ht="24.75" hidden="false" customHeight="true" outlineLevel="0" collapsed="false">
      <c r="A108" s="7"/>
      <c r="B108" s="7"/>
      <c r="C108" s="8"/>
      <c r="D108" s="16"/>
      <c r="E108" s="16"/>
      <c r="F108" s="16"/>
      <c r="G108" s="16"/>
      <c r="H108" s="16"/>
      <c r="I108" s="8"/>
      <c r="J108" s="8"/>
      <c r="K108" s="8"/>
      <c r="L108" s="8"/>
      <c r="M108" s="8"/>
      <c r="N108" s="8"/>
      <c r="O108" s="8"/>
    </row>
    <row r="109" customFormat="false" ht="24.75" hidden="false" customHeight="true" outlineLevel="0" collapsed="false">
      <c r="A109" s="7"/>
      <c r="B109" s="7"/>
      <c r="C109" s="8"/>
      <c r="D109" s="16"/>
      <c r="E109" s="16"/>
      <c r="F109" s="16"/>
      <c r="G109" s="16"/>
      <c r="H109" s="16"/>
      <c r="I109" s="8"/>
      <c r="J109" s="8"/>
      <c r="K109" s="8"/>
      <c r="L109" s="8"/>
      <c r="M109" s="8"/>
      <c r="N109" s="8"/>
      <c r="O109" s="8"/>
    </row>
    <row r="110" customFormat="false" ht="24.75" hidden="false" customHeight="true" outlineLevel="0" collapsed="false">
      <c r="A110" s="7"/>
      <c r="B110" s="7"/>
      <c r="C110" s="8"/>
      <c r="D110" s="16"/>
      <c r="E110" s="16"/>
      <c r="F110" s="16"/>
      <c r="G110" s="16"/>
      <c r="H110" s="16"/>
      <c r="I110" s="8"/>
      <c r="J110" s="8"/>
      <c r="K110" s="8"/>
      <c r="L110" s="8"/>
      <c r="M110" s="8"/>
      <c r="N110" s="8"/>
      <c r="O110" s="8"/>
    </row>
    <row r="111" customFormat="false" ht="24.75" hidden="false" customHeight="true" outlineLevel="0" collapsed="false">
      <c r="A111" s="7"/>
      <c r="B111" s="7"/>
      <c r="C111" s="8"/>
      <c r="D111" s="16"/>
      <c r="E111" s="16"/>
      <c r="F111" s="16"/>
      <c r="G111" s="16"/>
      <c r="H111" s="16"/>
      <c r="I111" s="8"/>
      <c r="J111" s="8"/>
      <c r="K111" s="8"/>
      <c r="L111" s="8"/>
      <c r="M111" s="8"/>
      <c r="N111" s="8"/>
      <c r="O111" s="8"/>
    </row>
    <row r="112" customFormat="false" ht="24.75" hidden="false" customHeight="true" outlineLevel="0" collapsed="false">
      <c r="A112" s="7"/>
      <c r="B112" s="7"/>
      <c r="C112" s="8"/>
      <c r="D112" s="16"/>
      <c r="E112" s="16"/>
      <c r="F112" s="16"/>
      <c r="G112" s="16"/>
      <c r="H112" s="16"/>
      <c r="I112" s="8"/>
      <c r="J112" s="8"/>
      <c r="K112" s="8"/>
      <c r="L112" s="8"/>
      <c r="M112" s="8"/>
      <c r="N112" s="8"/>
      <c r="O112" s="8"/>
    </row>
    <row r="113" customFormat="false" ht="24.75" hidden="false" customHeight="true" outlineLevel="0" collapsed="false">
      <c r="A113" s="7"/>
      <c r="B113" s="7"/>
      <c r="C113" s="8"/>
      <c r="D113" s="16"/>
      <c r="E113" s="16"/>
      <c r="F113" s="16"/>
      <c r="G113" s="16"/>
      <c r="H113" s="16"/>
      <c r="I113" s="8"/>
      <c r="J113" s="8"/>
      <c r="K113" s="8"/>
      <c r="L113" s="8"/>
      <c r="M113" s="8"/>
      <c r="N113" s="8"/>
      <c r="O113" s="8"/>
    </row>
    <row r="114" customFormat="false" ht="24.75" hidden="false" customHeight="true" outlineLevel="0" collapsed="false">
      <c r="A114" s="7"/>
      <c r="B114" s="7"/>
      <c r="C114" s="8"/>
      <c r="D114" s="16"/>
      <c r="E114" s="16"/>
      <c r="F114" s="16"/>
      <c r="G114" s="16"/>
      <c r="H114" s="16"/>
      <c r="I114" s="8"/>
      <c r="J114" s="8"/>
      <c r="K114" s="8"/>
      <c r="L114" s="8"/>
      <c r="M114" s="8"/>
      <c r="N114" s="8"/>
      <c r="O114" s="8"/>
    </row>
    <row r="115" customFormat="false" ht="24.75" hidden="false" customHeight="true" outlineLevel="0" collapsed="false">
      <c r="A115" s="7"/>
      <c r="B115" s="7"/>
      <c r="C115" s="8"/>
      <c r="D115" s="16"/>
      <c r="E115" s="16"/>
      <c r="F115" s="16"/>
      <c r="G115" s="16"/>
      <c r="H115" s="16"/>
      <c r="I115" s="8"/>
      <c r="J115" s="8"/>
      <c r="K115" s="8"/>
      <c r="L115" s="8"/>
      <c r="M115" s="8"/>
      <c r="N115" s="8"/>
      <c r="O115" s="8"/>
    </row>
  </sheetData>
  <mergeCells count="4">
    <mergeCell ref="C2:H2"/>
    <mergeCell ref="C27:H27"/>
    <mergeCell ref="C28:H28"/>
    <mergeCell ref="C30:H3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A6A5"/>
    <pageSetUpPr fitToPage="false"/>
  </sheetPr>
  <dimension ref="A1:O11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1" width="3"/>
    <col collapsed="false" customWidth="true" hidden="false" outlineLevel="0" max="3" min="3" style="1" width="45"/>
    <col collapsed="false" customWidth="true" hidden="false" outlineLevel="0" max="8" min="4" style="1" width="18"/>
    <col collapsed="false" customWidth="true" hidden="false" outlineLevel="0" max="9" min="9" style="1" width="4"/>
    <col collapsed="false" customWidth="true" hidden="false" outlineLevel="0" max="15" min="10" style="1" width="15"/>
  </cols>
  <sheetData>
    <row r="1" customFormat="false" ht="15" hidden="false" customHeight="false" outlineLevel="0" collapsed="false">
      <c r="A1" s="7"/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customFormat="false" ht="36.75" hidden="false" customHeight="true" outlineLevel="0" collapsed="false">
      <c r="A2" s="7"/>
      <c r="B2" s="7"/>
      <c r="C2" s="9" t="s">
        <v>74</v>
      </c>
      <c r="D2" s="9"/>
      <c r="E2" s="9"/>
      <c r="F2" s="9"/>
      <c r="G2" s="9"/>
      <c r="H2" s="9"/>
      <c r="I2" s="8"/>
      <c r="J2" s="8"/>
      <c r="K2" s="8"/>
      <c r="L2" s="8"/>
      <c r="M2" s="8"/>
      <c r="N2" s="8"/>
      <c r="O2" s="8"/>
    </row>
    <row r="3" customFormat="false" ht="15" hidden="false" customHeight="false" outlineLevel="0" collapsed="false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customFormat="false" ht="24.75" hidden="false" customHeight="true" outlineLevel="0" collapsed="false">
      <c r="A4" s="7"/>
      <c r="B4" s="7"/>
      <c r="C4" s="10" t="s">
        <v>75</v>
      </c>
      <c r="D4" s="24" t="n">
        <v>2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customFormat="false" ht="24.75" hidden="false" customHeight="true" outlineLevel="0" collapsed="false">
      <c r="A5" s="7"/>
      <c r="B5" s="7"/>
      <c r="C5" s="8"/>
      <c r="D5" s="16"/>
      <c r="E5" s="16"/>
      <c r="F5" s="16"/>
      <c r="G5" s="16"/>
      <c r="H5" s="16"/>
      <c r="I5" s="8"/>
      <c r="J5" s="8"/>
      <c r="K5" s="8"/>
      <c r="L5" s="8"/>
      <c r="M5" s="8"/>
      <c r="N5" s="8"/>
      <c r="O5" s="8"/>
    </row>
    <row r="6" customFormat="false" ht="24.75" hidden="false" customHeight="true" outlineLevel="0" collapsed="false">
      <c r="A6" s="7"/>
      <c r="B6" s="7"/>
      <c r="C6" s="10" t="s">
        <v>76</v>
      </c>
      <c r="D6" s="14" t="n">
        <f aca="false">CHOOSE(D4,D7,D8,D9)</f>
        <v>1</v>
      </c>
      <c r="E6" s="16"/>
      <c r="F6" s="16"/>
      <c r="G6" s="16"/>
      <c r="H6" s="16"/>
      <c r="I6" s="8"/>
      <c r="J6" s="8"/>
      <c r="K6" s="8"/>
      <c r="L6" s="8"/>
      <c r="M6" s="8"/>
      <c r="N6" s="8"/>
      <c r="O6" s="8"/>
    </row>
    <row r="7" customFormat="false" ht="24.75" hidden="false" customHeight="true" outlineLevel="0" collapsed="false">
      <c r="A7" s="7"/>
      <c r="B7" s="7"/>
      <c r="C7" s="10" t="s">
        <v>77</v>
      </c>
      <c r="D7" s="25" t="n">
        <v>0.8</v>
      </c>
      <c r="E7" s="16"/>
      <c r="F7" s="16"/>
      <c r="G7" s="16"/>
      <c r="H7" s="16"/>
      <c r="I7" s="8"/>
      <c r="J7" s="8"/>
      <c r="K7" s="8"/>
      <c r="L7" s="8"/>
      <c r="M7" s="8"/>
      <c r="N7" s="8"/>
      <c r="O7" s="8"/>
    </row>
    <row r="8" customFormat="false" ht="24.75" hidden="false" customHeight="true" outlineLevel="0" collapsed="false">
      <c r="A8" s="7"/>
      <c r="B8" s="7"/>
      <c r="C8" s="10" t="s">
        <v>78</v>
      </c>
      <c r="D8" s="25" t="n">
        <v>1</v>
      </c>
      <c r="E8" s="16"/>
      <c r="F8" s="16"/>
      <c r="G8" s="16"/>
      <c r="H8" s="16"/>
      <c r="I8" s="8"/>
      <c r="J8" s="8"/>
      <c r="K8" s="8"/>
      <c r="L8" s="8"/>
      <c r="M8" s="8"/>
      <c r="N8" s="8"/>
      <c r="O8" s="8"/>
    </row>
    <row r="9" customFormat="false" ht="24.75" hidden="false" customHeight="true" outlineLevel="0" collapsed="false">
      <c r="A9" s="7"/>
      <c r="B9" s="7"/>
      <c r="C9" s="10" t="s">
        <v>79</v>
      </c>
      <c r="D9" s="25" t="n">
        <v>1.2</v>
      </c>
      <c r="E9" s="16"/>
      <c r="F9" s="16"/>
      <c r="G9" s="16"/>
      <c r="H9" s="16"/>
      <c r="I9" s="8"/>
      <c r="J9" s="8"/>
      <c r="K9" s="8"/>
      <c r="L9" s="8"/>
      <c r="M9" s="8"/>
      <c r="N9" s="8"/>
      <c r="O9" s="8"/>
    </row>
    <row r="10" customFormat="false" ht="24.75" hidden="false" customHeight="true" outlineLevel="0" collapsed="false">
      <c r="A10" s="7"/>
      <c r="B10" s="7"/>
      <c r="C10" s="8"/>
      <c r="D10" s="16"/>
      <c r="E10" s="16"/>
      <c r="F10" s="16"/>
      <c r="G10" s="16"/>
      <c r="H10" s="16"/>
      <c r="I10" s="8"/>
      <c r="J10" s="8"/>
      <c r="K10" s="8"/>
      <c r="L10" s="8"/>
      <c r="M10" s="8"/>
      <c r="N10" s="8"/>
      <c r="O10" s="8"/>
    </row>
    <row r="11" customFormat="false" ht="24.75" hidden="false" customHeight="true" outlineLevel="0" collapsed="false">
      <c r="A11" s="7"/>
      <c r="B11" s="7"/>
      <c r="C11" s="8"/>
      <c r="D11" s="16"/>
      <c r="E11" s="16"/>
      <c r="F11" s="16"/>
      <c r="G11" s="16"/>
      <c r="H11" s="16"/>
      <c r="I11" s="8"/>
      <c r="J11" s="8"/>
      <c r="K11" s="8"/>
      <c r="L11" s="8"/>
      <c r="M11" s="8"/>
      <c r="N11" s="8"/>
      <c r="O11" s="8"/>
    </row>
    <row r="12" customFormat="false" ht="30" hidden="false" customHeight="true" outlineLevel="0" collapsed="false">
      <c r="A12" s="7"/>
      <c r="B12" s="7"/>
      <c r="C12" s="12" t="s">
        <v>80</v>
      </c>
      <c r="D12" s="13" t="s">
        <v>81</v>
      </c>
      <c r="E12" s="13" t="s">
        <v>82</v>
      </c>
      <c r="F12" s="13" t="s">
        <v>83</v>
      </c>
      <c r="G12" s="13" t="s">
        <v>84</v>
      </c>
      <c r="H12" s="13" t="s">
        <v>85</v>
      </c>
      <c r="I12" s="8"/>
      <c r="J12" s="8"/>
      <c r="K12" s="8"/>
      <c r="L12" s="8"/>
      <c r="M12" s="8"/>
      <c r="N12" s="8"/>
      <c r="O12" s="8"/>
    </row>
    <row r="13" customFormat="false" ht="24.75" hidden="false" customHeight="true" outlineLevel="0" collapsed="false">
      <c r="A13" s="7"/>
      <c r="B13" s="7"/>
      <c r="C13" s="10" t="s">
        <v>46</v>
      </c>
      <c r="D13" s="26" t="n">
        <v>1380000</v>
      </c>
      <c r="E13" s="27" t="n">
        <v>0.3</v>
      </c>
      <c r="F13" s="14" t="n">
        <f aca="false">D13/E13-D13</f>
        <v>3220000</v>
      </c>
      <c r="G13" s="14" t="n">
        <f aca="false">SUM(D13,F13)</f>
        <v>4600000</v>
      </c>
      <c r="H13" s="14" t="s">
        <v>86</v>
      </c>
      <c r="I13" s="8"/>
      <c r="J13" s="8"/>
      <c r="K13" s="8"/>
      <c r="L13" s="8"/>
      <c r="M13" s="8"/>
      <c r="N13" s="8"/>
      <c r="O13" s="8"/>
    </row>
    <row r="14" customFormat="false" ht="24.75" hidden="false" customHeight="true" outlineLevel="0" collapsed="false">
      <c r="A14" s="7"/>
      <c r="B14" s="7"/>
      <c r="C14" s="10" t="s">
        <v>47</v>
      </c>
      <c r="D14" s="26" t="n">
        <v>1290000</v>
      </c>
      <c r="E14" s="27" t="n">
        <v>0.3</v>
      </c>
      <c r="F14" s="14" t="n">
        <f aca="false">D14/E14-D14</f>
        <v>3010000</v>
      </c>
      <c r="G14" s="14" t="n">
        <f aca="false">SUM(D14,F14)</f>
        <v>4300000</v>
      </c>
      <c r="H14" s="14" t="s">
        <v>86</v>
      </c>
      <c r="I14" s="8"/>
      <c r="J14" s="8"/>
      <c r="K14" s="8"/>
      <c r="L14" s="8"/>
      <c r="M14" s="8"/>
      <c r="N14" s="8"/>
      <c r="O14" s="8"/>
    </row>
    <row r="15" customFormat="false" ht="24.75" hidden="false" customHeight="true" outlineLevel="0" collapsed="false">
      <c r="A15" s="7"/>
      <c r="B15" s="7"/>
      <c r="C15" s="10" t="s">
        <v>48</v>
      </c>
      <c r="D15" s="26" t="n">
        <v>5000000</v>
      </c>
      <c r="E15" s="27" t="n">
        <v>0.3</v>
      </c>
      <c r="F15" s="14" t="n">
        <f aca="false">D15/E15-D15</f>
        <v>11666666.6666667</v>
      </c>
      <c r="G15" s="14" t="n">
        <f aca="false">SUM(D15,F15)</f>
        <v>16666666.6666667</v>
      </c>
      <c r="H15" s="14" t="s">
        <v>86</v>
      </c>
      <c r="I15" s="8"/>
      <c r="J15" s="8"/>
      <c r="K15" s="8"/>
      <c r="L15" s="8"/>
      <c r="M15" s="8"/>
      <c r="N15" s="8"/>
      <c r="O15" s="8"/>
    </row>
    <row r="16" customFormat="false" ht="24.75" hidden="false" customHeight="true" outlineLevel="0" collapsed="false">
      <c r="A16" s="7"/>
      <c r="B16" s="7"/>
      <c r="C16" s="10" t="s">
        <v>49</v>
      </c>
      <c r="D16" s="26" t="n">
        <v>7000000</v>
      </c>
      <c r="E16" s="27" t="n">
        <v>0.3</v>
      </c>
      <c r="F16" s="14" t="n">
        <f aca="false">D16/E16-D16</f>
        <v>16333333.3333333</v>
      </c>
      <c r="G16" s="14" t="n">
        <f aca="false">SUM(D16,F16)</f>
        <v>23333333.3333333</v>
      </c>
      <c r="H16" s="14" t="s">
        <v>86</v>
      </c>
      <c r="I16" s="8"/>
      <c r="J16" s="8"/>
      <c r="K16" s="8"/>
      <c r="L16" s="8"/>
      <c r="M16" s="8"/>
      <c r="N16" s="8"/>
      <c r="O16" s="8"/>
    </row>
    <row r="17" customFormat="false" ht="24.75" hidden="false" customHeight="true" outlineLevel="0" collapsed="false">
      <c r="A17" s="7"/>
      <c r="B17" s="7"/>
      <c r="C17" s="8"/>
      <c r="D17" s="16"/>
      <c r="E17" s="16"/>
      <c r="F17" s="16"/>
      <c r="G17" s="16"/>
      <c r="H17" s="16"/>
      <c r="I17" s="8"/>
      <c r="J17" s="8"/>
      <c r="K17" s="8"/>
      <c r="L17" s="8"/>
      <c r="M17" s="8"/>
      <c r="N17" s="8"/>
      <c r="O17" s="8"/>
    </row>
    <row r="18" customFormat="false" ht="24.75" hidden="false" customHeight="true" outlineLevel="0" collapsed="false">
      <c r="A18" s="7"/>
      <c r="B18" s="7"/>
      <c r="C18" s="8"/>
      <c r="D18" s="16"/>
      <c r="E18" s="16"/>
      <c r="F18" s="16"/>
      <c r="G18" s="16"/>
      <c r="H18" s="16"/>
      <c r="I18" s="8"/>
      <c r="J18" s="8"/>
      <c r="K18" s="8"/>
      <c r="L18" s="8"/>
      <c r="M18" s="8"/>
      <c r="N18" s="8"/>
      <c r="O18" s="8"/>
    </row>
    <row r="19" customFormat="false" ht="24.75" hidden="false" customHeight="true" outlineLevel="0" collapsed="false">
      <c r="A19" s="7"/>
      <c r="B19" s="7"/>
      <c r="C19" s="10" t="s">
        <v>87</v>
      </c>
      <c r="D19" s="28" t="n">
        <v>0.1</v>
      </c>
      <c r="E19" s="16"/>
      <c r="F19" s="16"/>
      <c r="G19" s="16"/>
      <c r="H19" s="16"/>
      <c r="I19" s="8"/>
      <c r="J19" s="8"/>
      <c r="K19" s="8"/>
      <c r="L19" s="8"/>
      <c r="M19" s="8"/>
      <c r="N19" s="8"/>
      <c r="O19" s="8"/>
    </row>
    <row r="20" customFormat="false" ht="24.75" hidden="false" customHeight="true" outlineLevel="0" collapsed="false">
      <c r="A20" s="7"/>
      <c r="B20" s="7"/>
      <c r="C20" s="10" t="s">
        <v>88</v>
      </c>
      <c r="D20" s="28" t="n">
        <v>0.5</v>
      </c>
      <c r="E20" s="16"/>
      <c r="F20" s="16"/>
      <c r="G20" s="16"/>
      <c r="H20" s="16"/>
      <c r="I20" s="8"/>
      <c r="J20" s="8"/>
      <c r="K20" s="8"/>
      <c r="L20" s="8"/>
      <c r="M20" s="8"/>
      <c r="N20" s="8"/>
      <c r="O20" s="8"/>
    </row>
    <row r="21" customFormat="false" ht="24.75" hidden="false" customHeight="true" outlineLevel="0" collapsed="false">
      <c r="A21" s="7"/>
      <c r="B21" s="7"/>
      <c r="C21" s="10" t="s">
        <v>89</v>
      </c>
      <c r="D21" s="28" t="n">
        <v>0.5</v>
      </c>
      <c r="E21" s="16"/>
      <c r="F21" s="16"/>
      <c r="G21" s="16"/>
      <c r="H21" s="16"/>
      <c r="I21" s="8"/>
      <c r="J21" s="8"/>
      <c r="K21" s="8"/>
      <c r="L21" s="8"/>
      <c r="M21" s="8"/>
      <c r="N21" s="8"/>
      <c r="O21" s="8"/>
    </row>
    <row r="22" customFormat="false" ht="24.75" hidden="false" customHeight="true" outlineLevel="0" collapsed="false">
      <c r="A22" s="7"/>
      <c r="B22" s="7"/>
      <c r="C22" s="10" t="s">
        <v>90</v>
      </c>
      <c r="D22" s="28" t="n">
        <v>0.2</v>
      </c>
      <c r="E22" s="16"/>
      <c r="F22" s="16"/>
      <c r="G22" s="16"/>
      <c r="H22" s="16"/>
      <c r="I22" s="8"/>
      <c r="J22" s="8"/>
      <c r="K22" s="8"/>
      <c r="L22" s="8"/>
      <c r="M22" s="8"/>
      <c r="N22" s="8"/>
      <c r="O22" s="8"/>
    </row>
    <row r="23" customFormat="false" ht="24.75" hidden="false" customHeight="true" outlineLevel="0" collapsed="false">
      <c r="A23" s="7"/>
      <c r="B23" s="7"/>
      <c r="C23" s="10" t="s">
        <v>91</v>
      </c>
      <c r="D23" s="28" t="n">
        <v>0.4</v>
      </c>
      <c r="E23" s="16"/>
      <c r="F23" s="16"/>
      <c r="G23" s="16"/>
      <c r="H23" s="16"/>
      <c r="I23" s="8"/>
      <c r="J23" s="8"/>
      <c r="K23" s="8"/>
      <c r="L23" s="8"/>
      <c r="M23" s="8"/>
      <c r="N23" s="8"/>
      <c r="O23" s="8"/>
    </row>
    <row r="24" customFormat="false" ht="24.75" hidden="false" customHeight="true" outlineLevel="0" collapsed="false">
      <c r="A24" s="7"/>
      <c r="B24" s="7"/>
      <c r="C24" s="10" t="s">
        <v>92</v>
      </c>
      <c r="D24" s="28" t="n">
        <v>0.2</v>
      </c>
      <c r="E24" s="16"/>
      <c r="F24" s="16"/>
      <c r="G24" s="16"/>
      <c r="H24" s="16"/>
      <c r="I24" s="8"/>
      <c r="J24" s="8"/>
      <c r="K24" s="8"/>
      <c r="L24" s="8"/>
      <c r="M24" s="8"/>
      <c r="N24" s="8"/>
      <c r="O24" s="8"/>
    </row>
    <row r="25" customFormat="false" ht="24.75" hidden="false" customHeight="true" outlineLevel="0" collapsed="false">
      <c r="A25" s="7"/>
      <c r="B25" s="7"/>
      <c r="C25" s="10" t="s">
        <v>93</v>
      </c>
      <c r="D25" s="26" t="n">
        <v>1500000</v>
      </c>
      <c r="E25" s="16"/>
      <c r="F25" s="16"/>
      <c r="G25" s="16"/>
      <c r="H25" s="16"/>
      <c r="I25" s="8"/>
      <c r="J25" s="8"/>
      <c r="K25" s="8"/>
      <c r="L25" s="8"/>
      <c r="M25" s="8"/>
      <c r="N25" s="8"/>
      <c r="O25" s="8"/>
    </row>
    <row r="26" customFormat="false" ht="24.75" hidden="false" customHeight="true" outlineLevel="0" collapsed="false">
      <c r="A26" s="7"/>
      <c r="B26" s="7"/>
      <c r="C26" s="10" t="s">
        <v>94</v>
      </c>
      <c r="D26" s="26" t="n">
        <v>1500000</v>
      </c>
      <c r="E26" s="16"/>
      <c r="F26" s="16"/>
      <c r="G26" s="16"/>
      <c r="H26" s="16"/>
      <c r="I26" s="8"/>
      <c r="J26" s="8"/>
      <c r="K26" s="8"/>
      <c r="L26" s="8"/>
      <c r="M26" s="8"/>
      <c r="N26" s="8"/>
      <c r="O26" s="8"/>
    </row>
    <row r="27" customFormat="false" ht="24.75" hidden="false" customHeight="true" outlineLevel="0" collapsed="false">
      <c r="A27" s="7"/>
      <c r="B27" s="7"/>
      <c r="C27" s="10" t="s">
        <v>95</v>
      </c>
      <c r="D27" s="26" t="n">
        <v>1500000</v>
      </c>
      <c r="E27" s="16"/>
      <c r="F27" s="16"/>
      <c r="G27" s="16"/>
      <c r="H27" s="16"/>
      <c r="I27" s="8"/>
      <c r="J27" s="8"/>
      <c r="K27" s="8"/>
      <c r="L27" s="8"/>
      <c r="M27" s="8"/>
      <c r="N27" s="8"/>
      <c r="O27" s="8"/>
    </row>
    <row r="28" customFormat="false" ht="24.75" hidden="false" customHeight="true" outlineLevel="0" collapsed="false">
      <c r="A28" s="7"/>
      <c r="B28" s="7"/>
      <c r="C28" s="10" t="s">
        <v>96</v>
      </c>
      <c r="D28" s="26" t="n">
        <v>0</v>
      </c>
      <c r="E28" s="16"/>
      <c r="F28" s="16"/>
      <c r="G28" s="16"/>
      <c r="H28" s="16"/>
      <c r="I28" s="8"/>
      <c r="J28" s="8"/>
      <c r="K28" s="8"/>
      <c r="L28" s="8"/>
      <c r="M28" s="8"/>
      <c r="N28" s="8"/>
      <c r="O28" s="8"/>
    </row>
    <row r="29" customFormat="false" ht="24.75" hidden="false" customHeight="true" outlineLevel="0" collapsed="false">
      <c r="A29" s="7"/>
      <c r="B29" s="7"/>
      <c r="C29" s="10" t="s">
        <v>97</v>
      </c>
      <c r="D29" s="26" t="n">
        <v>0</v>
      </c>
      <c r="E29" s="16"/>
      <c r="F29" s="16"/>
      <c r="G29" s="16"/>
      <c r="H29" s="16"/>
      <c r="I29" s="8"/>
      <c r="J29" s="8"/>
      <c r="K29" s="8"/>
      <c r="L29" s="8"/>
      <c r="M29" s="8"/>
      <c r="N29" s="8"/>
      <c r="O29" s="8"/>
    </row>
    <row r="30" customFormat="false" ht="24.75" hidden="false" customHeight="true" outlineLevel="0" collapsed="false">
      <c r="A30" s="7"/>
      <c r="B30" s="7"/>
      <c r="C30" s="10" t="s">
        <v>98</v>
      </c>
      <c r="D30" s="26" t="n">
        <v>6</v>
      </c>
      <c r="E30" s="16"/>
      <c r="F30" s="16"/>
      <c r="G30" s="16"/>
      <c r="H30" s="16"/>
      <c r="I30" s="8"/>
      <c r="J30" s="8"/>
      <c r="K30" s="8"/>
      <c r="L30" s="8"/>
      <c r="M30" s="8"/>
      <c r="N30" s="8"/>
      <c r="O30" s="8"/>
    </row>
    <row r="31" customFormat="false" ht="24.75" hidden="false" customHeight="true" outlineLevel="0" collapsed="false">
      <c r="A31" s="7"/>
      <c r="B31" s="7"/>
      <c r="C31" s="10" t="s">
        <v>99</v>
      </c>
      <c r="D31" s="26" t="n">
        <v>5</v>
      </c>
      <c r="E31" s="16"/>
      <c r="F31" s="16"/>
      <c r="G31" s="16"/>
      <c r="H31" s="16"/>
      <c r="I31" s="8"/>
      <c r="J31" s="8"/>
      <c r="K31" s="8"/>
      <c r="L31" s="8"/>
      <c r="M31" s="8"/>
      <c r="N31" s="8"/>
      <c r="O31" s="8"/>
    </row>
    <row r="32" customFormat="false" ht="24.75" hidden="false" customHeight="true" outlineLevel="0" collapsed="false">
      <c r="A32" s="7"/>
      <c r="B32" s="7"/>
      <c r="C32" s="10" t="s">
        <v>100</v>
      </c>
      <c r="D32" s="26" t="n">
        <f aca="false">SUM(D47:D49)</f>
        <v>0</v>
      </c>
      <c r="E32" s="16"/>
      <c r="F32" s="16"/>
      <c r="G32" s="16"/>
      <c r="H32" s="16"/>
      <c r="I32" s="8"/>
      <c r="J32" s="8"/>
      <c r="K32" s="8"/>
      <c r="L32" s="8"/>
      <c r="M32" s="8"/>
      <c r="N32" s="8"/>
      <c r="O32" s="8"/>
    </row>
    <row r="33" customFormat="false" ht="24.75" hidden="false" customHeight="true" outlineLevel="0" collapsed="false">
      <c r="A33" s="7"/>
      <c r="B33" s="7"/>
      <c r="C33" s="10" t="s">
        <v>101</v>
      </c>
      <c r="D33" s="26" t="n">
        <v>0</v>
      </c>
      <c r="E33" s="16"/>
      <c r="F33" s="16"/>
      <c r="G33" s="16"/>
      <c r="H33" s="16"/>
      <c r="I33" s="8"/>
      <c r="J33" s="8"/>
      <c r="K33" s="8"/>
      <c r="L33" s="8"/>
      <c r="M33" s="8"/>
      <c r="N33" s="8"/>
      <c r="O33" s="8"/>
    </row>
    <row r="34" customFormat="false" ht="24.75" hidden="false" customHeight="true" outlineLevel="0" collapsed="false">
      <c r="A34" s="7"/>
      <c r="B34" s="7"/>
      <c r="C34" s="10" t="s">
        <v>102</v>
      </c>
      <c r="D34" s="28" t="n">
        <v>0.1</v>
      </c>
      <c r="E34" s="16"/>
      <c r="F34" s="16"/>
      <c r="G34" s="16"/>
      <c r="H34" s="16"/>
      <c r="I34" s="8"/>
      <c r="J34" s="8"/>
      <c r="K34" s="8"/>
      <c r="L34" s="8"/>
      <c r="M34" s="8"/>
      <c r="N34" s="8"/>
      <c r="O34" s="8"/>
    </row>
    <row r="35" customFormat="false" ht="24.75" hidden="false" customHeight="true" outlineLevel="0" collapsed="false">
      <c r="A35" s="7"/>
      <c r="B35" s="7"/>
      <c r="C35" s="8"/>
      <c r="D35" s="16"/>
      <c r="E35" s="16"/>
      <c r="F35" s="16"/>
      <c r="G35" s="16"/>
      <c r="H35" s="16"/>
      <c r="I35" s="8"/>
      <c r="J35" s="8"/>
      <c r="K35" s="8"/>
      <c r="L35" s="8"/>
      <c r="M35" s="8"/>
      <c r="N35" s="8"/>
      <c r="O35" s="8"/>
    </row>
    <row r="36" customFormat="false" ht="24.75" hidden="false" customHeight="true" outlineLevel="0" collapsed="false">
      <c r="A36" s="7"/>
      <c r="B36" s="7"/>
      <c r="C36" s="8"/>
      <c r="D36" s="16"/>
      <c r="E36" s="16"/>
      <c r="F36" s="16"/>
      <c r="G36" s="16"/>
      <c r="H36" s="16"/>
      <c r="I36" s="8"/>
      <c r="J36" s="8"/>
      <c r="K36" s="8"/>
      <c r="L36" s="8"/>
      <c r="M36" s="8"/>
      <c r="N36" s="8"/>
      <c r="O36" s="8"/>
    </row>
    <row r="37" customFormat="false" ht="39" hidden="false" customHeight="true" outlineLevel="0" collapsed="false">
      <c r="A37" s="7"/>
      <c r="B37" s="7"/>
      <c r="C37" s="23" t="s">
        <v>103</v>
      </c>
      <c r="D37" s="23"/>
      <c r="E37" s="23"/>
      <c r="F37" s="23"/>
      <c r="G37" s="23"/>
      <c r="H37" s="23"/>
      <c r="I37" s="8"/>
      <c r="J37" s="8"/>
      <c r="K37" s="8"/>
      <c r="L37" s="8"/>
      <c r="M37" s="8"/>
      <c r="N37" s="8"/>
      <c r="O37" s="8"/>
    </row>
    <row r="38" customFormat="false" ht="39" hidden="false" customHeight="true" outlineLevel="0" collapsed="false">
      <c r="A38" s="7"/>
      <c r="B38" s="7"/>
      <c r="C38" s="23" t="s">
        <v>104</v>
      </c>
      <c r="D38" s="23"/>
      <c r="E38" s="23"/>
      <c r="F38" s="23"/>
      <c r="G38" s="23"/>
      <c r="H38" s="23"/>
      <c r="I38" s="8"/>
      <c r="J38" s="8"/>
      <c r="K38" s="8"/>
      <c r="L38" s="8"/>
      <c r="M38" s="8"/>
      <c r="N38" s="8"/>
      <c r="O38" s="8"/>
    </row>
    <row r="39" customFormat="false" ht="39" hidden="false" customHeight="true" outlineLevel="0" collapsed="false">
      <c r="A39" s="7"/>
      <c r="B39" s="7"/>
      <c r="C39" s="23" t="s">
        <v>105</v>
      </c>
      <c r="D39" s="23"/>
      <c r="E39" s="23"/>
      <c r="F39" s="23"/>
      <c r="G39" s="23"/>
      <c r="H39" s="23"/>
      <c r="I39" s="8"/>
      <c r="J39" s="8"/>
      <c r="K39" s="8"/>
      <c r="L39" s="8"/>
      <c r="M39" s="8"/>
      <c r="N39" s="8"/>
      <c r="O39" s="8"/>
    </row>
    <row r="40" customFormat="false" ht="39" hidden="false" customHeight="true" outlineLevel="0" collapsed="false">
      <c r="A40" s="7"/>
      <c r="B40" s="7"/>
      <c r="C40" s="23" t="s">
        <v>106</v>
      </c>
      <c r="D40" s="23"/>
      <c r="E40" s="23"/>
      <c r="F40" s="23"/>
      <c r="G40" s="23"/>
      <c r="H40" s="23"/>
      <c r="I40" s="8"/>
      <c r="J40" s="8"/>
      <c r="K40" s="8"/>
      <c r="L40" s="8"/>
      <c r="M40" s="8"/>
      <c r="N40" s="8"/>
      <c r="O40" s="8"/>
    </row>
    <row r="41" customFormat="false" ht="39" hidden="false" customHeight="true" outlineLevel="0" collapsed="false">
      <c r="A41" s="7"/>
      <c r="B41" s="7"/>
      <c r="C41" s="23" t="s">
        <v>107</v>
      </c>
      <c r="D41" s="23"/>
      <c r="E41" s="23"/>
      <c r="F41" s="23"/>
      <c r="G41" s="23"/>
      <c r="H41" s="23"/>
      <c r="I41" s="8"/>
      <c r="J41" s="8"/>
      <c r="K41" s="8"/>
      <c r="L41" s="8"/>
      <c r="M41" s="8"/>
      <c r="N41" s="8"/>
      <c r="O41" s="8"/>
    </row>
    <row r="42" customFormat="false" ht="39" hidden="false" customHeight="true" outlineLevel="0" collapsed="false">
      <c r="A42" s="7"/>
      <c r="B42" s="7"/>
      <c r="C42" s="23" t="s">
        <v>108</v>
      </c>
      <c r="D42" s="23"/>
      <c r="E42" s="23"/>
      <c r="F42" s="23"/>
      <c r="G42" s="23"/>
      <c r="H42" s="23"/>
      <c r="I42" s="8"/>
      <c r="J42" s="8"/>
      <c r="K42" s="8"/>
      <c r="L42" s="8"/>
      <c r="M42" s="8"/>
      <c r="N42" s="8"/>
      <c r="O42" s="8"/>
    </row>
    <row r="43" customFormat="false" ht="24.75" hidden="false" customHeight="true" outlineLevel="0" collapsed="false">
      <c r="A43" s="7"/>
      <c r="B43" s="7"/>
      <c r="C43" s="8"/>
      <c r="D43" s="16"/>
      <c r="E43" s="16"/>
      <c r="F43" s="16"/>
      <c r="G43" s="16"/>
      <c r="H43" s="16"/>
      <c r="I43" s="8"/>
      <c r="J43" s="8"/>
      <c r="K43" s="8"/>
      <c r="L43" s="8"/>
      <c r="M43" s="8"/>
      <c r="N43" s="8"/>
      <c r="O43" s="8"/>
    </row>
    <row r="44" customFormat="false" ht="24.75" hidden="false" customHeight="true" outlineLevel="0" collapsed="false">
      <c r="A44" s="7"/>
      <c r="B44" s="7"/>
      <c r="C44" s="10" t="s">
        <v>109</v>
      </c>
      <c r="D44" s="29" t="n">
        <v>2</v>
      </c>
      <c r="E44" s="16"/>
      <c r="F44" s="16"/>
      <c r="G44" s="16"/>
      <c r="H44" s="16"/>
      <c r="I44" s="8"/>
      <c r="J44" s="8"/>
      <c r="K44" s="8"/>
      <c r="L44" s="8"/>
      <c r="M44" s="8"/>
      <c r="N44" s="8"/>
      <c r="O44" s="8"/>
    </row>
    <row r="45" customFormat="false" ht="24.75" hidden="false" customHeight="true" outlineLevel="0" collapsed="false">
      <c r="A45" s="7"/>
      <c r="B45" s="7"/>
      <c r="C45" s="10" t="s">
        <v>110</v>
      </c>
      <c r="D45" s="29" t="n">
        <v>0</v>
      </c>
      <c r="E45" s="16"/>
      <c r="F45" s="16"/>
      <c r="G45" s="16"/>
      <c r="H45" s="16"/>
      <c r="I45" s="8"/>
      <c r="J45" s="8"/>
      <c r="K45" s="8"/>
      <c r="L45" s="8"/>
      <c r="M45" s="8"/>
      <c r="N45" s="8"/>
      <c r="O45" s="8"/>
    </row>
    <row r="46" customFormat="false" ht="24.75" hidden="false" customHeight="true" outlineLevel="0" collapsed="false">
      <c r="A46" s="7"/>
      <c r="B46" s="7"/>
      <c r="C46" s="8"/>
      <c r="D46" s="16"/>
      <c r="E46" s="16"/>
      <c r="F46" s="16"/>
      <c r="G46" s="16"/>
      <c r="H46" s="16"/>
      <c r="I46" s="8"/>
      <c r="J46" s="8"/>
      <c r="K46" s="8"/>
      <c r="L46" s="8"/>
      <c r="M46" s="8"/>
      <c r="N46" s="8"/>
      <c r="O46" s="8"/>
    </row>
    <row r="47" customFormat="false" ht="24.75" hidden="false" customHeight="true" outlineLevel="0" collapsed="false">
      <c r="A47" s="7"/>
      <c r="B47" s="7"/>
      <c r="C47" s="10" t="s">
        <v>111</v>
      </c>
      <c r="D47" s="29" t="n">
        <v>0</v>
      </c>
      <c r="E47" s="16"/>
      <c r="F47" s="16"/>
      <c r="G47" s="16"/>
      <c r="H47" s="16"/>
      <c r="I47" s="8"/>
      <c r="J47" s="8"/>
      <c r="K47" s="8"/>
      <c r="L47" s="8"/>
      <c r="M47" s="8"/>
      <c r="N47" s="8"/>
      <c r="O47" s="8"/>
    </row>
    <row r="48" customFormat="false" ht="24.75" hidden="false" customHeight="true" outlineLevel="0" collapsed="false">
      <c r="A48" s="7"/>
      <c r="B48" s="7"/>
      <c r="C48" s="10" t="s">
        <v>112</v>
      </c>
      <c r="D48" s="29" t="n">
        <v>0</v>
      </c>
      <c r="E48" s="16"/>
      <c r="F48" s="16"/>
      <c r="G48" s="16"/>
      <c r="H48" s="16"/>
      <c r="I48" s="8"/>
      <c r="J48" s="8"/>
      <c r="K48" s="8"/>
      <c r="L48" s="8"/>
      <c r="M48" s="8"/>
      <c r="N48" s="8"/>
      <c r="O48" s="8"/>
    </row>
    <row r="49" customFormat="false" ht="24.75" hidden="false" customHeight="true" outlineLevel="0" collapsed="false">
      <c r="A49" s="7"/>
      <c r="B49" s="7"/>
      <c r="C49" s="10" t="s">
        <v>113</v>
      </c>
      <c r="D49" s="29" t="n">
        <v>0</v>
      </c>
      <c r="E49" s="16"/>
      <c r="F49" s="16"/>
      <c r="G49" s="16"/>
      <c r="H49" s="16"/>
      <c r="I49" s="8"/>
      <c r="J49" s="8"/>
      <c r="K49" s="8"/>
      <c r="L49" s="8"/>
      <c r="M49" s="8"/>
      <c r="N49" s="8"/>
      <c r="O49" s="8"/>
    </row>
    <row r="50" customFormat="false" ht="24.75" hidden="false" customHeight="true" outlineLevel="0" collapsed="false">
      <c r="A50" s="7"/>
      <c r="B50" s="7"/>
      <c r="C50" s="8"/>
      <c r="D50" s="16"/>
      <c r="E50" s="16"/>
      <c r="F50" s="16"/>
      <c r="G50" s="16"/>
      <c r="H50" s="16"/>
      <c r="I50" s="8"/>
      <c r="J50" s="8"/>
      <c r="K50" s="8"/>
      <c r="L50" s="8"/>
      <c r="M50" s="8"/>
      <c r="N50" s="8"/>
      <c r="O50" s="8"/>
    </row>
    <row r="51" customFormat="false" ht="24.75" hidden="false" customHeight="true" outlineLevel="0" collapsed="false">
      <c r="A51" s="7"/>
      <c r="B51" s="7"/>
      <c r="C51" s="10" t="s">
        <v>114</v>
      </c>
      <c r="D51" s="16"/>
      <c r="E51" s="16"/>
      <c r="F51" s="16"/>
      <c r="G51" s="16"/>
      <c r="H51" s="16"/>
      <c r="I51" s="8"/>
      <c r="J51" s="8"/>
      <c r="K51" s="8"/>
      <c r="L51" s="8"/>
      <c r="M51" s="8"/>
      <c r="N51" s="8"/>
      <c r="O51" s="8"/>
    </row>
    <row r="52" customFormat="false" ht="24.75" hidden="false" customHeight="true" outlineLevel="0" collapsed="false">
      <c r="A52" s="7"/>
      <c r="B52" s="7"/>
      <c r="C52" s="10" t="s">
        <v>115</v>
      </c>
      <c r="D52" s="16"/>
      <c r="E52" s="16"/>
      <c r="F52" s="16"/>
      <c r="G52" s="16"/>
      <c r="H52" s="16"/>
      <c r="I52" s="8"/>
      <c r="J52" s="8"/>
      <c r="K52" s="8"/>
      <c r="L52" s="8"/>
      <c r="M52" s="8"/>
      <c r="N52" s="8"/>
      <c r="O52" s="8"/>
    </row>
    <row r="53" customFormat="false" ht="24.75" hidden="false" customHeight="true" outlineLevel="0" collapsed="false">
      <c r="A53" s="7"/>
      <c r="B53" s="7"/>
      <c r="C53" s="10" t="s">
        <v>116</v>
      </c>
      <c r="D53" s="16"/>
      <c r="E53" s="16"/>
      <c r="F53" s="16"/>
      <c r="G53" s="16"/>
      <c r="H53" s="16"/>
      <c r="I53" s="8"/>
      <c r="J53" s="8"/>
      <c r="K53" s="8"/>
      <c r="L53" s="8"/>
      <c r="M53" s="8"/>
      <c r="N53" s="8"/>
      <c r="O53" s="8"/>
    </row>
    <row r="54" customFormat="false" ht="24.75" hidden="false" customHeight="true" outlineLevel="0" collapsed="false">
      <c r="A54" s="7"/>
      <c r="B54" s="7"/>
      <c r="C54" s="8"/>
      <c r="D54" s="16"/>
      <c r="E54" s="16"/>
      <c r="F54" s="16"/>
      <c r="G54" s="16"/>
      <c r="H54" s="16"/>
      <c r="I54" s="8"/>
      <c r="J54" s="8"/>
      <c r="K54" s="8"/>
      <c r="L54" s="8"/>
      <c r="M54" s="8"/>
      <c r="N54" s="8"/>
      <c r="O54" s="8"/>
    </row>
    <row r="55" customFormat="false" ht="24.75" hidden="false" customHeight="true" outlineLevel="0" collapsed="false">
      <c r="A55" s="7"/>
      <c r="B55" s="7"/>
      <c r="C55" s="8"/>
      <c r="D55" s="16"/>
      <c r="E55" s="16"/>
      <c r="F55" s="16"/>
      <c r="G55" s="16"/>
      <c r="H55" s="16"/>
      <c r="I55" s="8"/>
      <c r="J55" s="8"/>
      <c r="K55" s="8"/>
      <c r="L55" s="8"/>
      <c r="M55" s="8"/>
      <c r="N55" s="8"/>
      <c r="O55" s="8"/>
    </row>
    <row r="56" customFormat="false" ht="24.75" hidden="false" customHeight="true" outlineLevel="0" collapsed="false">
      <c r="A56" s="7"/>
      <c r="B56" s="7"/>
      <c r="C56" s="8"/>
      <c r="D56" s="16"/>
      <c r="E56" s="16"/>
      <c r="F56" s="16"/>
      <c r="G56" s="16"/>
      <c r="H56" s="16"/>
      <c r="I56" s="8"/>
      <c r="J56" s="8"/>
      <c r="K56" s="8"/>
      <c r="L56" s="8"/>
      <c r="M56" s="8"/>
      <c r="N56" s="8"/>
      <c r="O56" s="8"/>
    </row>
    <row r="57" customFormat="false" ht="24.75" hidden="false" customHeight="true" outlineLevel="0" collapsed="false">
      <c r="A57" s="7"/>
      <c r="B57" s="7"/>
      <c r="C57" s="8"/>
      <c r="D57" s="16"/>
      <c r="E57" s="16"/>
      <c r="F57" s="16"/>
      <c r="G57" s="16"/>
      <c r="H57" s="16"/>
      <c r="I57" s="8"/>
      <c r="J57" s="8"/>
      <c r="K57" s="8"/>
      <c r="L57" s="8"/>
      <c r="M57" s="8"/>
      <c r="N57" s="8"/>
      <c r="O57" s="8"/>
    </row>
    <row r="58" customFormat="false" ht="24.75" hidden="false" customHeight="true" outlineLevel="0" collapsed="false">
      <c r="A58" s="7"/>
      <c r="B58" s="7"/>
      <c r="C58" s="8"/>
      <c r="D58" s="16"/>
      <c r="E58" s="16"/>
      <c r="F58" s="16"/>
      <c r="G58" s="16"/>
      <c r="H58" s="16"/>
      <c r="I58" s="8"/>
      <c r="J58" s="8"/>
      <c r="K58" s="8"/>
      <c r="L58" s="8"/>
      <c r="M58" s="8"/>
      <c r="N58" s="8"/>
      <c r="O58" s="8"/>
    </row>
    <row r="59" customFormat="false" ht="24.75" hidden="false" customHeight="true" outlineLevel="0" collapsed="false">
      <c r="A59" s="7"/>
      <c r="B59" s="7"/>
      <c r="C59" s="8"/>
      <c r="D59" s="16"/>
      <c r="E59" s="16"/>
      <c r="F59" s="16"/>
      <c r="G59" s="16"/>
      <c r="H59" s="16"/>
      <c r="I59" s="8"/>
      <c r="J59" s="8"/>
      <c r="K59" s="8"/>
      <c r="L59" s="8"/>
      <c r="M59" s="8"/>
      <c r="N59" s="8"/>
      <c r="O59" s="8"/>
    </row>
    <row r="60" customFormat="false" ht="24.75" hidden="false" customHeight="true" outlineLevel="0" collapsed="false">
      <c r="A60" s="7"/>
      <c r="B60" s="7"/>
      <c r="C60" s="8"/>
      <c r="D60" s="16"/>
      <c r="E60" s="16"/>
      <c r="F60" s="16"/>
      <c r="G60" s="16"/>
      <c r="H60" s="16"/>
      <c r="I60" s="8"/>
      <c r="J60" s="8"/>
      <c r="K60" s="8"/>
      <c r="L60" s="8"/>
      <c r="M60" s="8"/>
      <c r="N60" s="8"/>
      <c r="O60" s="8"/>
    </row>
    <row r="61" customFormat="false" ht="24.75" hidden="false" customHeight="true" outlineLevel="0" collapsed="false">
      <c r="A61" s="7"/>
      <c r="B61" s="7"/>
      <c r="C61" s="8"/>
      <c r="D61" s="16"/>
      <c r="E61" s="16"/>
      <c r="F61" s="16"/>
      <c r="G61" s="16"/>
      <c r="H61" s="16"/>
      <c r="I61" s="8"/>
      <c r="J61" s="8"/>
      <c r="K61" s="8"/>
      <c r="L61" s="8"/>
      <c r="M61" s="8"/>
      <c r="N61" s="8"/>
      <c r="O61" s="8"/>
    </row>
    <row r="62" customFormat="false" ht="24.75" hidden="false" customHeight="true" outlineLevel="0" collapsed="false">
      <c r="A62" s="7"/>
      <c r="B62" s="7"/>
      <c r="C62" s="8"/>
      <c r="D62" s="16"/>
      <c r="E62" s="16"/>
      <c r="F62" s="16"/>
      <c r="G62" s="16"/>
      <c r="H62" s="16"/>
      <c r="I62" s="8"/>
      <c r="J62" s="8"/>
      <c r="K62" s="8"/>
      <c r="L62" s="8"/>
      <c r="M62" s="8"/>
      <c r="N62" s="8"/>
      <c r="O62" s="8"/>
    </row>
    <row r="63" customFormat="false" ht="24.75" hidden="false" customHeight="true" outlineLevel="0" collapsed="false">
      <c r="A63" s="7"/>
      <c r="B63" s="7"/>
      <c r="C63" s="8"/>
      <c r="D63" s="16"/>
      <c r="E63" s="16"/>
      <c r="F63" s="16"/>
      <c r="G63" s="16"/>
      <c r="H63" s="16"/>
      <c r="I63" s="8"/>
      <c r="J63" s="8"/>
      <c r="K63" s="8"/>
      <c r="L63" s="8"/>
      <c r="M63" s="8"/>
      <c r="N63" s="8"/>
      <c r="O63" s="8"/>
    </row>
    <row r="64" customFormat="false" ht="24.75" hidden="false" customHeight="true" outlineLevel="0" collapsed="false">
      <c r="A64" s="7"/>
      <c r="B64" s="7"/>
      <c r="C64" s="8"/>
      <c r="D64" s="16"/>
      <c r="E64" s="16"/>
      <c r="F64" s="16"/>
      <c r="G64" s="16"/>
      <c r="H64" s="16"/>
      <c r="I64" s="8"/>
      <c r="J64" s="8"/>
      <c r="K64" s="8"/>
      <c r="L64" s="8"/>
      <c r="M64" s="8"/>
      <c r="N64" s="8"/>
      <c r="O64" s="8"/>
    </row>
    <row r="65" customFormat="false" ht="24.75" hidden="false" customHeight="true" outlineLevel="0" collapsed="false">
      <c r="A65" s="7"/>
      <c r="B65" s="7"/>
      <c r="C65" s="8"/>
      <c r="D65" s="16"/>
      <c r="E65" s="16"/>
      <c r="F65" s="16"/>
      <c r="G65" s="16"/>
      <c r="H65" s="16"/>
      <c r="I65" s="8"/>
      <c r="J65" s="8"/>
      <c r="K65" s="8"/>
      <c r="L65" s="8"/>
      <c r="M65" s="8"/>
      <c r="N65" s="8"/>
      <c r="O65" s="8"/>
    </row>
    <row r="66" customFormat="false" ht="24.75" hidden="false" customHeight="true" outlineLevel="0" collapsed="false">
      <c r="A66" s="7"/>
      <c r="B66" s="7"/>
      <c r="C66" s="8"/>
      <c r="D66" s="16"/>
      <c r="E66" s="16"/>
      <c r="F66" s="16"/>
      <c r="G66" s="16"/>
      <c r="H66" s="16"/>
      <c r="I66" s="8"/>
      <c r="J66" s="8"/>
      <c r="K66" s="8"/>
      <c r="L66" s="8"/>
      <c r="M66" s="8"/>
      <c r="N66" s="8"/>
      <c r="O66" s="8"/>
    </row>
    <row r="67" customFormat="false" ht="24.75" hidden="false" customHeight="true" outlineLevel="0" collapsed="false">
      <c r="A67" s="7"/>
      <c r="B67" s="7"/>
      <c r="C67" s="8"/>
      <c r="D67" s="16"/>
      <c r="E67" s="16"/>
      <c r="F67" s="16"/>
      <c r="G67" s="16"/>
      <c r="H67" s="16"/>
      <c r="I67" s="8"/>
      <c r="J67" s="8"/>
      <c r="K67" s="8"/>
      <c r="L67" s="8"/>
      <c r="M67" s="8"/>
      <c r="N67" s="8"/>
      <c r="O67" s="8"/>
    </row>
    <row r="68" customFormat="false" ht="24.75" hidden="false" customHeight="true" outlineLevel="0" collapsed="false">
      <c r="A68" s="7"/>
      <c r="B68" s="7"/>
      <c r="C68" s="8"/>
      <c r="D68" s="16"/>
      <c r="E68" s="16"/>
      <c r="F68" s="16"/>
      <c r="G68" s="16"/>
      <c r="H68" s="16"/>
      <c r="I68" s="8"/>
      <c r="J68" s="8"/>
      <c r="K68" s="8"/>
      <c r="L68" s="8"/>
      <c r="M68" s="8"/>
      <c r="N68" s="8"/>
      <c r="O68" s="8"/>
    </row>
    <row r="69" customFormat="false" ht="24.75" hidden="false" customHeight="true" outlineLevel="0" collapsed="false">
      <c r="A69" s="7"/>
      <c r="B69" s="7"/>
      <c r="C69" s="8"/>
      <c r="D69" s="16"/>
      <c r="E69" s="16"/>
      <c r="F69" s="16"/>
      <c r="G69" s="16"/>
      <c r="H69" s="16"/>
      <c r="I69" s="8"/>
      <c r="J69" s="8"/>
      <c r="K69" s="8"/>
      <c r="L69" s="8"/>
      <c r="M69" s="8"/>
      <c r="N69" s="8"/>
      <c r="O69" s="8"/>
    </row>
    <row r="70" customFormat="false" ht="24.75" hidden="false" customHeight="true" outlineLevel="0" collapsed="false">
      <c r="A70" s="7"/>
      <c r="B70" s="7"/>
      <c r="C70" s="8"/>
      <c r="D70" s="16"/>
      <c r="E70" s="16"/>
      <c r="F70" s="16"/>
      <c r="G70" s="16"/>
      <c r="H70" s="16"/>
      <c r="I70" s="8"/>
      <c r="J70" s="8"/>
      <c r="K70" s="8"/>
      <c r="L70" s="8"/>
      <c r="M70" s="8"/>
      <c r="N70" s="8"/>
      <c r="O70" s="8"/>
    </row>
    <row r="71" customFormat="false" ht="24.75" hidden="false" customHeight="true" outlineLevel="0" collapsed="false">
      <c r="A71" s="7"/>
      <c r="B71" s="7"/>
      <c r="C71" s="8"/>
      <c r="D71" s="16"/>
      <c r="E71" s="16"/>
      <c r="F71" s="16"/>
      <c r="G71" s="16"/>
      <c r="H71" s="16"/>
      <c r="I71" s="8"/>
      <c r="J71" s="8"/>
      <c r="K71" s="8"/>
      <c r="L71" s="8"/>
      <c r="M71" s="8"/>
      <c r="N71" s="8"/>
      <c r="O71" s="8"/>
    </row>
    <row r="72" customFormat="false" ht="24.75" hidden="false" customHeight="true" outlineLevel="0" collapsed="false">
      <c r="A72" s="7"/>
      <c r="B72" s="7"/>
      <c r="C72" s="8"/>
      <c r="D72" s="16"/>
      <c r="E72" s="16"/>
      <c r="F72" s="16"/>
      <c r="G72" s="16"/>
      <c r="H72" s="16"/>
      <c r="I72" s="8"/>
      <c r="J72" s="8"/>
      <c r="K72" s="8"/>
      <c r="L72" s="8"/>
      <c r="M72" s="8"/>
      <c r="N72" s="8"/>
      <c r="O72" s="8"/>
    </row>
    <row r="73" customFormat="false" ht="24.75" hidden="false" customHeight="true" outlineLevel="0" collapsed="false">
      <c r="A73" s="7"/>
      <c r="B73" s="7"/>
      <c r="C73" s="8"/>
      <c r="D73" s="16"/>
      <c r="E73" s="16"/>
      <c r="F73" s="16"/>
      <c r="G73" s="16"/>
      <c r="H73" s="16"/>
      <c r="I73" s="8"/>
      <c r="J73" s="8"/>
      <c r="K73" s="8"/>
      <c r="L73" s="8"/>
      <c r="M73" s="8"/>
      <c r="N73" s="8"/>
      <c r="O73" s="8"/>
    </row>
    <row r="74" customFormat="false" ht="24.75" hidden="false" customHeight="true" outlineLevel="0" collapsed="false">
      <c r="A74" s="7"/>
      <c r="B74" s="7"/>
      <c r="C74" s="8"/>
      <c r="D74" s="16"/>
      <c r="E74" s="16"/>
      <c r="F74" s="16"/>
      <c r="G74" s="16"/>
      <c r="H74" s="16"/>
      <c r="I74" s="8"/>
      <c r="J74" s="8"/>
      <c r="K74" s="8"/>
      <c r="L74" s="8"/>
      <c r="M74" s="8"/>
      <c r="N74" s="8"/>
      <c r="O74" s="8"/>
    </row>
    <row r="75" customFormat="false" ht="24.75" hidden="false" customHeight="true" outlineLevel="0" collapsed="false">
      <c r="A75" s="7"/>
      <c r="B75" s="7"/>
      <c r="C75" s="8"/>
      <c r="D75" s="16"/>
      <c r="E75" s="16"/>
      <c r="F75" s="16"/>
      <c r="G75" s="16"/>
      <c r="H75" s="16"/>
      <c r="I75" s="8"/>
      <c r="J75" s="8"/>
      <c r="K75" s="8"/>
      <c r="L75" s="8"/>
      <c r="M75" s="8"/>
      <c r="N75" s="8"/>
      <c r="O75" s="8"/>
    </row>
    <row r="76" customFormat="false" ht="24.75" hidden="false" customHeight="true" outlineLevel="0" collapsed="false">
      <c r="A76" s="7"/>
      <c r="B76" s="7"/>
      <c r="C76" s="8"/>
      <c r="D76" s="16"/>
      <c r="E76" s="16"/>
      <c r="F76" s="16"/>
      <c r="G76" s="16"/>
      <c r="H76" s="16"/>
      <c r="I76" s="8"/>
      <c r="J76" s="8"/>
      <c r="K76" s="8"/>
      <c r="L76" s="8"/>
      <c r="M76" s="8"/>
      <c r="N76" s="8"/>
      <c r="O76" s="8"/>
    </row>
    <row r="77" customFormat="false" ht="24.75" hidden="false" customHeight="true" outlineLevel="0" collapsed="false">
      <c r="A77" s="7"/>
      <c r="B77" s="7"/>
      <c r="C77" s="8"/>
      <c r="D77" s="16"/>
      <c r="E77" s="16"/>
      <c r="F77" s="16"/>
      <c r="G77" s="16"/>
      <c r="H77" s="16"/>
      <c r="I77" s="8"/>
      <c r="J77" s="8"/>
      <c r="K77" s="8"/>
      <c r="L77" s="8"/>
      <c r="M77" s="8"/>
      <c r="N77" s="8"/>
      <c r="O77" s="8"/>
    </row>
    <row r="78" customFormat="false" ht="24.75" hidden="false" customHeight="true" outlineLevel="0" collapsed="false">
      <c r="A78" s="7"/>
      <c r="B78" s="7"/>
      <c r="C78" s="8"/>
      <c r="D78" s="16"/>
      <c r="E78" s="16"/>
      <c r="F78" s="16"/>
      <c r="G78" s="16"/>
      <c r="H78" s="16"/>
      <c r="I78" s="8"/>
      <c r="J78" s="8"/>
      <c r="K78" s="8"/>
      <c r="L78" s="8"/>
      <c r="M78" s="8"/>
      <c r="N78" s="8"/>
      <c r="O78" s="8"/>
    </row>
    <row r="79" customFormat="false" ht="24.75" hidden="false" customHeight="true" outlineLevel="0" collapsed="false">
      <c r="A79" s="7"/>
      <c r="B79" s="7"/>
      <c r="C79" s="8"/>
      <c r="D79" s="16"/>
      <c r="E79" s="16"/>
      <c r="F79" s="16"/>
      <c r="G79" s="16"/>
      <c r="H79" s="16"/>
      <c r="I79" s="8"/>
      <c r="J79" s="8"/>
      <c r="K79" s="8"/>
      <c r="L79" s="8"/>
      <c r="M79" s="8"/>
      <c r="N79" s="8"/>
      <c r="O79" s="8"/>
    </row>
    <row r="80" customFormat="false" ht="24.75" hidden="false" customHeight="true" outlineLevel="0" collapsed="false">
      <c r="A80" s="7"/>
      <c r="B80" s="7"/>
      <c r="C80" s="8"/>
      <c r="D80" s="16"/>
      <c r="E80" s="16"/>
      <c r="F80" s="16"/>
      <c r="G80" s="16"/>
      <c r="H80" s="16"/>
      <c r="I80" s="8"/>
      <c r="J80" s="8"/>
      <c r="K80" s="8"/>
      <c r="L80" s="8"/>
      <c r="M80" s="8"/>
      <c r="N80" s="8"/>
      <c r="O80" s="8"/>
    </row>
    <row r="81" customFormat="false" ht="24.75" hidden="false" customHeight="true" outlineLevel="0" collapsed="false">
      <c r="A81" s="7"/>
      <c r="B81" s="7"/>
      <c r="C81" s="8"/>
      <c r="D81" s="16"/>
      <c r="E81" s="16"/>
      <c r="F81" s="16"/>
      <c r="G81" s="16"/>
      <c r="H81" s="16"/>
      <c r="I81" s="8"/>
      <c r="J81" s="8"/>
      <c r="K81" s="8"/>
      <c r="L81" s="8"/>
      <c r="M81" s="8"/>
      <c r="N81" s="8"/>
      <c r="O81" s="8"/>
    </row>
    <row r="82" customFormat="false" ht="24.75" hidden="false" customHeight="true" outlineLevel="0" collapsed="false">
      <c r="A82" s="7"/>
      <c r="B82" s="7"/>
      <c r="C82" s="8"/>
      <c r="D82" s="16"/>
      <c r="E82" s="16"/>
      <c r="F82" s="16"/>
      <c r="G82" s="16"/>
      <c r="H82" s="16"/>
      <c r="I82" s="8"/>
      <c r="J82" s="8"/>
      <c r="K82" s="8"/>
      <c r="L82" s="8"/>
      <c r="M82" s="8"/>
      <c r="N82" s="8"/>
      <c r="O82" s="8"/>
    </row>
    <row r="83" customFormat="false" ht="24.75" hidden="false" customHeight="true" outlineLevel="0" collapsed="false">
      <c r="A83" s="7"/>
      <c r="B83" s="7"/>
      <c r="C83" s="8"/>
      <c r="D83" s="16"/>
      <c r="E83" s="16"/>
      <c r="F83" s="16"/>
      <c r="G83" s="16"/>
      <c r="H83" s="16"/>
      <c r="I83" s="8"/>
      <c r="J83" s="8"/>
      <c r="K83" s="8"/>
      <c r="L83" s="8"/>
      <c r="M83" s="8"/>
      <c r="N83" s="8"/>
      <c r="O83" s="8"/>
    </row>
    <row r="84" customFormat="false" ht="24.75" hidden="false" customHeight="true" outlineLevel="0" collapsed="false">
      <c r="A84" s="7"/>
      <c r="B84" s="7"/>
      <c r="C84" s="8"/>
      <c r="D84" s="16"/>
      <c r="E84" s="16"/>
      <c r="F84" s="16"/>
      <c r="G84" s="16"/>
      <c r="H84" s="16"/>
      <c r="I84" s="8"/>
      <c r="J84" s="8"/>
      <c r="K84" s="8"/>
      <c r="L84" s="8"/>
      <c r="M84" s="8"/>
      <c r="N84" s="8"/>
      <c r="O84" s="8"/>
    </row>
    <row r="85" customFormat="false" ht="24.75" hidden="false" customHeight="true" outlineLevel="0" collapsed="false">
      <c r="A85" s="7"/>
      <c r="B85" s="7"/>
      <c r="C85" s="8"/>
      <c r="D85" s="16"/>
      <c r="E85" s="16"/>
      <c r="F85" s="16"/>
      <c r="G85" s="16"/>
      <c r="H85" s="16"/>
      <c r="I85" s="8"/>
      <c r="J85" s="8"/>
      <c r="K85" s="8"/>
      <c r="L85" s="8"/>
      <c r="M85" s="8"/>
      <c r="N85" s="8"/>
      <c r="O85" s="8"/>
    </row>
    <row r="86" customFormat="false" ht="24.75" hidden="false" customHeight="true" outlineLevel="0" collapsed="false">
      <c r="A86" s="7"/>
      <c r="B86" s="7"/>
      <c r="C86" s="8"/>
      <c r="D86" s="16"/>
      <c r="E86" s="16"/>
      <c r="F86" s="16"/>
      <c r="G86" s="16"/>
      <c r="H86" s="16"/>
      <c r="I86" s="8"/>
      <c r="J86" s="8"/>
      <c r="K86" s="8"/>
      <c r="L86" s="8"/>
      <c r="M86" s="8"/>
      <c r="N86" s="8"/>
      <c r="O86" s="8"/>
    </row>
    <row r="87" customFormat="false" ht="24.75" hidden="false" customHeight="true" outlineLevel="0" collapsed="false">
      <c r="A87" s="7"/>
      <c r="B87" s="7"/>
      <c r="C87" s="8"/>
      <c r="D87" s="16"/>
      <c r="E87" s="16"/>
      <c r="F87" s="16"/>
      <c r="G87" s="16"/>
      <c r="H87" s="16"/>
      <c r="I87" s="8"/>
      <c r="J87" s="8"/>
      <c r="K87" s="8"/>
      <c r="L87" s="8"/>
      <c r="M87" s="8"/>
      <c r="N87" s="8"/>
      <c r="O87" s="8"/>
    </row>
    <row r="88" customFormat="false" ht="24.75" hidden="false" customHeight="true" outlineLevel="0" collapsed="false">
      <c r="A88" s="7"/>
      <c r="B88" s="7"/>
      <c r="C88" s="8"/>
      <c r="D88" s="16"/>
      <c r="E88" s="16"/>
      <c r="F88" s="16"/>
      <c r="G88" s="16"/>
      <c r="H88" s="16"/>
      <c r="I88" s="8"/>
      <c r="J88" s="8"/>
      <c r="K88" s="8"/>
      <c r="L88" s="8"/>
      <c r="M88" s="8"/>
      <c r="N88" s="8"/>
      <c r="O88" s="8"/>
    </row>
    <row r="89" customFormat="false" ht="24.75" hidden="false" customHeight="true" outlineLevel="0" collapsed="false">
      <c r="A89" s="7"/>
      <c r="B89" s="7"/>
      <c r="C89" s="8"/>
      <c r="D89" s="16"/>
      <c r="E89" s="16"/>
      <c r="F89" s="16"/>
      <c r="G89" s="16"/>
      <c r="H89" s="16"/>
      <c r="I89" s="8"/>
      <c r="J89" s="8"/>
      <c r="K89" s="8"/>
      <c r="L89" s="8"/>
      <c r="M89" s="8"/>
      <c r="N89" s="8"/>
      <c r="O89" s="8"/>
    </row>
    <row r="90" customFormat="false" ht="24.75" hidden="false" customHeight="true" outlineLevel="0" collapsed="false">
      <c r="A90" s="7"/>
      <c r="B90" s="7"/>
      <c r="C90" s="8"/>
      <c r="D90" s="16"/>
      <c r="E90" s="16"/>
      <c r="F90" s="16"/>
      <c r="G90" s="16"/>
      <c r="H90" s="16"/>
      <c r="I90" s="8"/>
      <c r="J90" s="8"/>
      <c r="K90" s="8"/>
      <c r="L90" s="8"/>
      <c r="M90" s="8"/>
      <c r="N90" s="8"/>
      <c r="O90" s="8"/>
    </row>
    <row r="91" customFormat="false" ht="24.75" hidden="false" customHeight="true" outlineLevel="0" collapsed="false">
      <c r="A91" s="7"/>
      <c r="B91" s="7"/>
      <c r="C91" s="8"/>
      <c r="D91" s="16"/>
      <c r="E91" s="16"/>
      <c r="F91" s="16"/>
      <c r="G91" s="16"/>
      <c r="H91" s="16"/>
      <c r="I91" s="8"/>
      <c r="J91" s="8"/>
      <c r="K91" s="8"/>
      <c r="L91" s="8"/>
      <c r="M91" s="8"/>
      <c r="N91" s="8"/>
      <c r="O91" s="8"/>
    </row>
    <row r="92" customFormat="false" ht="24.75" hidden="false" customHeight="true" outlineLevel="0" collapsed="false">
      <c r="A92" s="7"/>
      <c r="B92" s="7"/>
      <c r="C92" s="8"/>
      <c r="D92" s="16"/>
      <c r="E92" s="16"/>
      <c r="F92" s="16"/>
      <c r="G92" s="16"/>
      <c r="H92" s="16"/>
      <c r="I92" s="8"/>
      <c r="J92" s="8"/>
      <c r="K92" s="8"/>
      <c r="L92" s="8"/>
      <c r="M92" s="8"/>
      <c r="N92" s="8"/>
      <c r="O92" s="8"/>
    </row>
    <row r="93" customFormat="false" ht="24.75" hidden="false" customHeight="true" outlineLevel="0" collapsed="false">
      <c r="A93" s="7"/>
      <c r="B93" s="7"/>
      <c r="C93" s="8"/>
      <c r="D93" s="16"/>
      <c r="E93" s="16"/>
      <c r="F93" s="16"/>
      <c r="G93" s="16"/>
      <c r="H93" s="16"/>
      <c r="I93" s="8"/>
      <c r="J93" s="8"/>
      <c r="K93" s="8"/>
      <c r="L93" s="8"/>
      <c r="M93" s="8"/>
      <c r="N93" s="8"/>
      <c r="O93" s="8"/>
    </row>
    <row r="94" customFormat="false" ht="24.75" hidden="false" customHeight="true" outlineLevel="0" collapsed="false">
      <c r="A94" s="7"/>
      <c r="B94" s="7"/>
      <c r="C94" s="8"/>
      <c r="D94" s="16"/>
      <c r="E94" s="16"/>
      <c r="F94" s="16"/>
      <c r="G94" s="16"/>
      <c r="H94" s="16"/>
      <c r="I94" s="8"/>
      <c r="J94" s="8"/>
      <c r="K94" s="8"/>
      <c r="L94" s="8"/>
      <c r="M94" s="8"/>
      <c r="N94" s="8"/>
      <c r="O94" s="8"/>
    </row>
    <row r="95" customFormat="false" ht="24.75" hidden="false" customHeight="true" outlineLevel="0" collapsed="false">
      <c r="A95" s="7"/>
      <c r="B95" s="7"/>
      <c r="C95" s="8"/>
      <c r="D95" s="16"/>
      <c r="E95" s="16"/>
      <c r="F95" s="16"/>
      <c r="G95" s="16"/>
      <c r="H95" s="16"/>
      <c r="I95" s="8"/>
      <c r="J95" s="8"/>
      <c r="K95" s="8"/>
      <c r="L95" s="8"/>
      <c r="M95" s="8"/>
      <c r="N95" s="8"/>
      <c r="O95" s="8"/>
    </row>
    <row r="96" customFormat="false" ht="24.75" hidden="false" customHeight="true" outlineLevel="0" collapsed="false">
      <c r="A96" s="7"/>
      <c r="B96" s="7"/>
      <c r="C96" s="8"/>
      <c r="D96" s="16"/>
      <c r="E96" s="16"/>
      <c r="F96" s="16"/>
      <c r="G96" s="16"/>
      <c r="H96" s="16"/>
      <c r="I96" s="8"/>
      <c r="J96" s="8"/>
      <c r="K96" s="8"/>
      <c r="L96" s="8"/>
      <c r="M96" s="8"/>
      <c r="N96" s="8"/>
      <c r="O96" s="8"/>
    </row>
    <row r="97" customFormat="false" ht="24.75" hidden="false" customHeight="true" outlineLevel="0" collapsed="false">
      <c r="A97" s="7"/>
      <c r="B97" s="7"/>
      <c r="C97" s="8"/>
      <c r="D97" s="16"/>
      <c r="E97" s="16"/>
      <c r="F97" s="16"/>
      <c r="G97" s="16"/>
      <c r="H97" s="16"/>
      <c r="I97" s="8"/>
      <c r="J97" s="8"/>
      <c r="K97" s="8"/>
      <c r="L97" s="8"/>
      <c r="M97" s="8"/>
      <c r="N97" s="8"/>
      <c r="O97" s="8"/>
    </row>
    <row r="98" customFormat="false" ht="24.75" hidden="false" customHeight="true" outlineLevel="0" collapsed="false">
      <c r="A98" s="7"/>
      <c r="B98" s="7"/>
      <c r="C98" s="8"/>
      <c r="D98" s="16"/>
      <c r="E98" s="16"/>
      <c r="F98" s="16"/>
      <c r="G98" s="16"/>
      <c r="H98" s="16"/>
      <c r="I98" s="8"/>
      <c r="J98" s="8"/>
      <c r="K98" s="8"/>
      <c r="L98" s="8"/>
      <c r="M98" s="8"/>
      <c r="N98" s="8"/>
      <c r="O98" s="8"/>
    </row>
    <row r="99" customFormat="false" ht="24.75" hidden="false" customHeight="true" outlineLevel="0" collapsed="false">
      <c r="A99" s="7"/>
      <c r="B99" s="7"/>
      <c r="C99" s="8"/>
      <c r="D99" s="16"/>
      <c r="E99" s="16"/>
      <c r="F99" s="16"/>
      <c r="G99" s="16"/>
      <c r="H99" s="16"/>
      <c r="I99" s="8"/>
      <c r="J99" s="8"/>
      <c r="K99" s="8"/>
      <c r="L99" s="8"/>
      <c r="M99" s="8"/>
      <c r="N99" s="8"/>
      <c r="O99" s="8"/>
    </row>
    <row r="100" customFormat="false" ht="24.75" hidden="false" customHeight="true" outlineLevel="0" collapsed="false">
      <c r="A100" s="7"/>
      <c r="B100" s="7"/>
      <c r="C100" s="8"/>
      <c r="D100" s="16"/>
      <c r="E100" s="16"/>
      <c r="F100" s="16"/>
      <c r="G100" s="16"/>
      <c r="H100" s="16"/>
      <c r="I100" s="8"/>
      <c r="J100" s="8"/>
      <c r="K100" s="8"/>
      <c r="L100" s="8"/>
      <c r="M100" s="8"/>
      <c r="N100" s="8"/>
      <c r="O100" s="8"/>
    </row>
    <row r="101" customFormat="false" ht="24.75" hidden="false" customHeight="true" outlineLevel="0" collapsed="false">
      <c r="A101" s="7"/>
      <c r="B101" s="7"/>
      <c r="C101" s="8"/>
      <c r="D101" s="16"/>
      <c r="E101" s="16"/>
      <c r="F101" s="16"/>
      <c r="G101" s="16"/>
      <c r="H101" s="16"/>
      <c r="I101" s="8"/>
      <c r="J101" s="8"/>
      <c r="K101" s="8"/>
      <c r="L101" s="8"/>
      <c r="M101" s="8"/>
      <c r="N101" s="8"/>
      <c r="O101" s="8"/>
    </row>
    <row r="102" customFormat="false" ht="24.75" hidden="false" customHeight="true" outlineLevel="0" collapsed="false">
      <c r="A102" s="7"/>
      <c r="B102" s="7"/>
      <c r="C102" s="8"/>
      <c r="D102" s="16"/>
      <c r="E102" s="16"/>
      <c r="F102" s="16"/>
      <c r="G102" s="16"/>
      <c r="H102" s="16"/>
      <c r="I102" s="8"/>
      <c r="J102" s="8"/>
      <c r="K102" s="8"/>
      <c r="L102" s="8"/>
      <c r="M102" s="8"/>
      <c r="N102" s="8"/>
      <c r="O102" s="8"/>
    </row>
    <row r="103" customFormat="false" ht="24.75" hidden="false" customHeight="true" outlineLevel="0" collapsed="false">
      <c r="A103" s="7"/>
      <c r="B103" s="7"/>
      <c r="C103" s="8"/>
      <c r="D103" s="16"/>
      <c r="E103" s="16"/>
      <c r="F103" s="16"/>
      <c r="G103" s="16"/>
      <c r="H103" s="16"/>
      <c r="I103" s="8"/>
      <c r="J103" s="8"/>
      <c r="K103" s="8"/>
      <c r="L103" s="8"/>
      <c r="M103" s="8"/>
      <c r="N103" s="8"/>
      <c r="O103" s="8"/>
    </row>
    <row r="104" customFormat="false" ht="24.75" hidden="false" customHeight="true" outlineLevel="0" collapsed="false">
      <c r="A104" s="7"/>
      <c r="B104" s="7"/>
      <c r="C104" s="8"/>
      <c r="D104" s="16"/>
      <c r="E104" s="16"/>
      <c r="F104" s="16"/>
      <c r="G104" s="16"/>
      <c r="H104" s="16"/>
      <c r="I104" s="8"/>
      <c r="J104" s="8"/>
      <c r="K104" s="8"/>
      <c r="L104" s="8"/>
      <c r="M104" s="8"/>
      <c r="N104" s="8"/>
      <c r="O104" s="8"/>
    </row>
    <row r="105" customFormat="false" ht="24.75" hidden="false" customHeight="true" outlineLevel="0" collapsed="false">
      <c r="A105" s="7"/>
      <c r="B105" s="7"/>
      <c r="C105" s="8"/>
      <c r="D105" s="16"/>
      <c r="E105" s="16"/>
      <c r="F105" s="16"/>
      <c r="G105" s="16"/>
      <c r="H105" s="16"/>
      <c r="I105" s="8"/>
      <c r="J105" s="8"/>
      <c r="K105" s="8"/>
      <c r="L105" s="8"/>
      <c r="M105" s="8"/>
      <c r="N105" s="8"/>
      <c r="O105" s="8"/>
    </row>
    <row r="106" customFormat="false" ht="24.75" hidden="false" customHeight="true" outlineLevel="0" collapsed="false">
      <c r="A106" s="7"/>
      <c r="B106" s="7"/>
      <c r="C106" s="8"/>
      <c r="D106" s="16"/>
      <c r="E106" s="16"/>
      <c r="F106" s="16"/>
      <c r="G106" s="16"/>
      <c r="H106" s="16"/>
      <c r="I106" s="8"/>
      <c r="J106" s="8"/>
      <c r="K106" s="8"/>
      <c r="L106" s="8"/>
      <c r="M106" s="8"/>
      <c r="N106" s="8"/>
      <c r="O106" s="8"/>
    </row>
    <row r="107" customFormat="false" ht="24.75" hidden="false" customHeight="true" outlineLevel="0" collapsed="false">
      <c r="A107" s="7"/>
      <c r="B107" s="7"/>
      <c r="C107" s="8"/>
      <c r="D107" s="16"/>
      <c r="E107" s="16"/>
      <c r="F107" s="16"/>
      <c r="G107" s="16"/>
      <c r="H107" s="16"/>
      <c r="I107" s="8"/>
      <c r="J107" s="8"/>
      <c r="K107" s="8"/>
      <c r="L107" s="8"/>
      <c r="M107" s="8"/>
      <c r="N107" s="8"/>
      <c r="O107" s="8"/>
    </row>
    <row r="108" customFormat="false" ht="24.75" hidden="false" customHeight="true" outlineLevel="0" collapsed="false">
      <c r="A108" s="7"/>
      <c r="B108" s="7"/>
      <c r="C108" s="8"/>
      <c r="D108" s="16"/>
      <c r="E108" s="16"/>
      <c r="F108" s="16"/>
      <c r="G108" s="16"/>
      <c r="H108" s="16"/>
      <c r="I108" s="8"/>
      <c r="J108" s="8"/>
      <c r="K108" s="8"/>
      <c r="L108" s="8"/>
      <c r="M108" s="8"/>
      <c r="N108" s="8"/>
      <c r="O108" s="8"/>
    </row>
    <row r="109" customFormat="false" ht="24.75" hidden="false" customHeight="true" outlineLevel="0" collapsed="false">
      <c r="A109" s="7"/>
      <c r="B109" s="7"/>
      <c r="C109" s="8"/>
      <c r="D109" s="16"/>
      <c r="E109" s="16"/>
      <c r="F109" s="16"/>
      <c r="G109" s="16"/>
      <c r="H109" s="16"/>
      <c r="I109" s="8"/>
      <c r="J109" s="8"/>
      <c r="K109" s="8"/>
      <c r="L109" s="8"/>
      <c r="M109" s="8"/>
      <c r="N109" s="8"/>
      <c r="O109" s="8"/>
    </row>
    <row r="110" customFormat="false" ht="24.75" hidden="false" customHeight="true" outlineLevel="0" collapsed="false">
      <c r="A110" s="7"/>
      <c r="B110" s="7"/>
      <c r="C110" s="8"/>
      <c r="D110" s="16"/>
      <c r="E110" s="16"/>
      <c r="F110" s="16"/>
      <c r="G110" s="16"/>
      <c r="H110" s="16"/>
      <c r="I110" s="8"/>
      <c r="J110" s="8"/>
      <c r="K110" s="8"/>
      <c r="L110" s="8"/>
      <c r="M110" s="8"/>
      <c r="N110" s="8"/>
      <c r="O110" s="8"/>
    </row>
    <row r="111" customFormat="false" ht="24.75" hidden="false" customHeight="true" outlineLevel="0" collapsed="false">
      <c r="A111" s="7"/>
      <c r="B111" s="7"/>
      <c r="C111" s="8"/>
      <c r="D111" s="16"/>
      <c r="E111" s="16"/>
      <c r="F111" s="16"/>
      <c r="G111" s="16"/>
      <c r="H111" s="16"/>
      <c r="I111" s="8"/>
      <c r="J111" s="8"/>
      <c r="K111" s="8"/>
      <c r="L111" s="8"/>
      <c r="M111" s="8"/>
      <c r="N111" s="8"/>
      <c r="O111" s="8"/>
    </row>
    <row r="112" customFormat="false" ht="24.75" hidden="false" customHeight="true" outlineLevel="0" collapsed="false">
      <c r="A112" s="7"/>
      <c r="B112" s="7"/>
      <c r="C112" s="8"/>
      <c r="D112" s="16"/>
      <c r="E112" s="16"/>
      <c r="F112" s="16"/>
      <c r="G112" s="16"/>
      <c r="H112" s="16"/>
      <c r="I112" s="8"/>
      <c r="J112" s="8"/>
      <c r="K112" s="8"/>
      <c r="L112" s="8"/>
      <c r="M112" s="8"/>
      <c r="N112" s="8"/>
      <c r="O112" s="8"/>
    </row>
    <row r="113" customFormat="false" ht="24.75" hidden="false" customHeight="true" outlineLevel="0" collapsed="false">
      <c r="A113" s="7"/>
      <c r="B113" s="7"/>
      <c r="C113" s="8"/>
      <c r="D113" s="16"/>
      <c r="E113" s="16"/>
      <c r="F113" s="16"/>
      <c r="G113" s="16"/>
      <c r="H113" s="16"/>
      <c r="I113" s="8"/>
      <c r="J113" s="8"/>
      <c r="K113" s="8"/>
      <c r="L113" s="8"/>
      <c r="M113" s="8"/>
      <c r="N113" s="8"/>
      <c r="O113" s="8"/>
    </row>
    <row r="114" customFormat="false" ht="24.75" hidden="false" customHeight="true" outlineLevel="0" collapsed="false">
      <c r="A114" s="7"/>
      <c r="B114" s="7"/>
      <c r="C114" s="8"/>
      <c r="D114" s="16"/>
      <c r="E114" s="16"/>
      <c r="F114" s="16"/>
      <c r="G114" s="16"/>
      <c r="H114" s="16"/>
      <c r="I114" s="8"/>
      <c r="J114" s="8"/>
      <c r="K114" s="8"/>
      <c r="L114" s="8"/>
      <c r="M114" s="8"/>
      <c r="N114" s="8"/>
      <c r="O114" s="8"/>
    </row>
    <row r="115" customFormat="false" ht="24.75" hidden="false" customHeight="true" outlineLevel="0" collapsed="false">
      <c r="A115" s="7"/>
      <c r="B115" s="7"/>
      <c r="C115" s="8"/>
      <c r="D115" s="16"/>
      <c r="E115" s="16"/>
      <c r="F115" s="16"/>
      <c r="G115" s="16"/>
      <c r="H115" s="16"/>
      <c r="I115" s="8"/>
      <c r="J115" s="8"/>
      <c r="K115" s="8"/>
      <c r="L115" s="8"/>
      <c r="M115" s="8"/>
      <c r="N115" s="8"/>
      <c r="O115" s="8"/>
    </row>
  </sheetData>
  <mergeCells count="7">
    <mergeCell ref="C2:H2"/>
    <mergeCell ref="C37:H37"/>
    <mergeCell ref="C38:H38"/>
    <mergeCell ref="C39:H39"/>
    <mergeCell ref="C40:H40"/>
    <mergeCell ref="C41:H41"/>
    <mergeCell ref="C42:H42"/>
  </mergeCells>
  <dataValidations count="2">
    <dataValidation allowBlank="false" errorStyle="stop" operator="between" showDropDown="false" showErrorMessage="false" showInputMessage="false" sqref="D4" type="whole">
      <formula1>1</formula1>
      <formula2>3</formula2>
    </dataValidation>
    <dataValidation allowBlank="false" errorStyle="stop" operator="between" showDropDown="false" showErrorMessage="false" showInputMessage="false" sqref="D44" type="whole">
      <formula1>1</formula1>
      <formula2>3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A6AD"/>
    <pageSetUpPr fitToPage="true"/>
  </sheetPr>
  <dimension ref="C2:I2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1" width="2"/>
    <col collapsed="false" customWidth="true" hidden="false" outlineLevel="0" max="9" min="3" style="1" width="19"/>
  </cols>
  <sheetData>
    <row r="2" customFormat="false" ht="42.75" hidden="false" customHeight="true" outlineLevel="0" collapsed="false">
      <c r="C2" s="2" t="s">
        <v>117</v>
      </c>
      <c r="D2" s="2"/>
      <c r="E2" s="2"/>
      <c r="F2" s="2"/>
      <c r="G2" s="2"/>
      <c r="H2" s="2"/>
      <c r="I2" s="2"/>
    </row>
    <row r="5" customFormat="false" ht="43.5" hidden="false" customHeight="true" outlineLevel="0" collapsed="false">
      <c r="C5" s="3" t="s">
        <v>118</v>
      </c>
      <c r="D5" s="3" t="s">
        <v>119</v>
      </c>
      <c r="E5" s="3" t="s">
        <v>46</v>
      </c>
      <c r="F5" s="3" t="s">
        <v>47</v>
      </c>
      <c r="G5" s="3" t="s">
        <v>48</v>
      </c>
      <c r="H5" s="3" t="s">
        <v>49</v>
      </c>
      <c r="I5" s="3" t="s">
        <v>120</v>
      </c>
    </row>
    <row r="6" customFormat="false" ht="28.5" hidden="false" customHeight="true" outlineLevel="0" collapsed="false">
      <c r="C6" s="30" t="n">
        <v>46301</v>
      </c>
      <c r="D6" s="31" t="n">
        <v>0.5</v>
      </c>
      <c r="E6" s="32" t="n">
        <f aca="false">Terms!D13*$D6</f>
        <v>690000</v>
      </c>
      <c r="F6" s="32" t="n">
        <f aca="false">Terms!D14*$D6</f>
        <v>645000</v>
      </c>
      <c r="G6" s="32" t="n">
        <f aca="false">Terms!D15*$D6</f>
        <v>2500000</v>
      </c>
      <c r="H6" s="32" t="n">
        <f aca="false">Terms!D16*$D6</f>
        <v>3500000</v>
      </c>
      <c r="I6" s="4" t="s">
        <v>121</v>
      </c>
    </row>
    <row r="7" customFormat="false" ht="28.5" hidden="false" customHeight="true" outlineLevel="0" collapsed="false">
      <c r="C7" s="30" t="n">
        <v>46393</v>
      </c>
      <c r="D7" s="31" t="n">
        <v>0.3</v>
      </c>
      <c r="E7" s="33" t="n">
        <f aca="false">Terms!D13*$D7</f>
        <v>414000</v>
      </c>
      <c r="F7" s="33" t="n">
        <f aca="false">Terms!D14*$D7</f>
        <v>387000</v>
      </c>
      <c r="G7" s="33" t="n">
        <f aca="false">Terms!D15*$D7</f>
        <v>1500000</v>
      </c>
      <c r="H7" s="33" t="n">
        <f aca="false">Terms!D16*$D7</f>
        <v>2100000</v>
      </c>
      <c r="I7" s="5" t="s">
        <v>122</v>
      </c>
    </row>
    <row r="8" customFormat="false" ht="28.5" hidden="false" customHeight="true" outlineLevel="0" collapsed="false">
      <c r="C8" s="30" t="n">
        <v>46483</v>
      </c>
      <c r="D8" s="31" t="n">
        <v>0.2</v>
      </c>
      <c r="E8" s="32" t="n">
        <f aca="false">Terms!D13*$D8</f>
        <v>276000</v>
      </c>
      <c r="F8" s="32" t="n">
        <f aca="false">Terms!D14*$D8</f>
        <v>258000</v>
      </c>
      <c r="G8" s="32" t="n">
        <f aca="false">Terms!D15*$D8</f>
        <v>1000000</v>
      </c>
      <c r="H8" s="32" t="n">
        <f aca="false">Terms!D16*$D8</f>
        <v>1400000</v>
      </c>
      <c r="I8" s="4" t="s">
        <v>123</v>
      </c>
    </row>
    <row r="9" customFormat="false" ht="28.5" hidden="false" customHeight="true" outlineLevel="0" collapsed="false"/>
    <row r="10" customFormat="false" ht="28.5" hidden="false" customHeight="true" outlineLevel="0" collapsed="false"/>
    <row r="11" customFormat="false" ht="28.5" hidden="false" customHeight="true" outlineLevel="0" collapsed="false">
      <c r="C11" s="5" t="s">
        <v>124</v>
      </c>
      <c r="D11" s="34" t="n">
        <f aca="false">SUM(D6:D8)</f>
        <v>1</v>
      </c>
      <c r="E11" s="33" t="n">
        <f aca="false">SUM(E6:E8)</f>
        <v>1380000</v>
      </c>
      <c r="F11" s="33" t="n">
        <f aca="false">SUM(F6:F8)</f>
        <v>1290000</v>
      </c>
      <c r="G11" s="33" t="n">
        <f aca="false">SUM(G6:G8)</f>
        <v>5000000</v>
      </c>
      <c r="H11" s="33" t="n">
        <f aca="false">SUM(H6:H8)</f>
        <v>7000000</v>
      </c>
    </row>
    <row r="12" customFormat="false" ht="28.5" hidden="false" customHeight="true" outlineLevel="0" collapsed="false"/>
    <row r="13" customFormat="false" ht="28.5" hidden="false" customHeight="true" outlineLevel="0" collapsed="false">
      <c r="C13" s="5" t="s">
        <v>125</v>
      </c>
      <c r="D13" s="35" t="n">
        <v>46752</v>
      </c>
    </row>
    <row r="14" customFormat="false" ht="28.5" hidden="false" customHeight="true" outlineLevel="0" collapsed="false">
      <c r="C14" s="4" t="s">
        <v>126</v>
      </c>
      <c r="D14" s="36" t="n">
        <v>47118</v>
      </c>
    </row>
    <row r="15" customFormat="false" ht="28.5" hidden="false" customHeight="true" outlineLevel="0" collapsed="false">
      <c r="C15" s="5" t="s">
        <v>127</v>
      </c>
      <c r="D15" s="35" t="n">
        <v>47483</v>
      </c>
    </row>
    <row r="16" customFormat="false" ht="28.5" hidden="false" customHeight="true" outlineLevel="0" collapsed="false"/>
    <row r="17" customFormat="false" ht="28.5" hidden="false" customHeight="true" outlineLevel="0" collapsed="false">
      <c r="C17" s="5" t="s">
        <v>128</v>
      </c>
      <c r="D17" s="35" t="n">
        <v>46630</v>
      </c>
    </row>
    <row r="18" customFormat="false" ht="28.5" hidden="false" customHeight="true" outlineLevel="0" collapsed="false">
      <c r="C18" s="4" t="s">
        <v>129</v>
      </c>
      <c r="D18" s="36" t="n">
        <v>46996</v>
      </c>
    </row>
    <row r="19" customFormat="false" ht="28.5" hidden="false" customHeight="true" outlineLevel="0" collapsed="false">
      <c r="C19" s="5" t="s">
        <v>130</v>
      </c>
      <c r="D19" s="35" t="n">
        <v>47361</v>
      </c>
    </row>
    <row r="20" customFormat="false" ht="28.5" hidden="false" customHeight="true" outlineLevel="0" collapsed="false"/>
    <row r="21" customFormat="false" ht="28.5" hidden="false" customHeight="true" outlineLevel="0" collapsed="false">
      <c r="C21" s="5" t="s">
        <v>131</v>
      </c>
      <c r="D21" s="37" t="n">
        <v>0</v>
      </c>
    </row>
    <row r="22" customFormat="false" ht="28.5" hidden="false" customHeight="true" outlineLevel="0" collapsed="false"/>
    <row r="23" customFormat="false" ht="34.5" hidden="false" customHeight="true" outlineLevel="0" collapsed="false">
      <c r="C23" s="38" t="s">
        <v>132</v>
      </c>
      <c r="D23" s="38"/>
      <c r="E23" s="38"/>
      <c r="F23" s="38"/>
      <c r="G23" s="38"/>
      <c r="H23" s="38"/>
      <c r="I23" s="38"/>
    </row>
    <row r="24" customFormat="false" ht="34.5" hidden="false" customHeight="true" outlineLevel="0" collapsed="false">
      <c r="C24" s="39" t="s">
        <v>133</v>
      </c>
      <c r="D24" s="39"/>
      <c r="E24" s="39"/>
      <c r="F24" s="39"/>
      <c r="G24" s="39"/>
      <c r="H24" s="39"/>
      <c r="I24" s="39"/>
    </row>
    <row r="25" customFormat="false" ht="34.5" hidden="false" customHeight="true" outlineLevel="0" collapsed="false">
      <c r="C25" s="38" t="s">
        <v>134</v>
      </c>
      <c r="D25" s="38"/>
      <c r="E25" s="38"/>
      <c r="F25" s="38"/>
      <c r="G25" s="38"/>
      <c r="H25" s="38"/>
      <c r="I25" s="38"/>
    </row>
  </sheetData>
  <mergeCells count="4">
    <mergeCell ref="C2:I2"/>
    <mergeCell ref="C23:I23"/>
    <mergeCell ref="C24:I24"/>
    <mergeCell ref="C25:I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A6AD"/>
    <pageSetUpPr fitToPage="true"/>
  </sheetPr>
  <dimension ref="C2:N20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1" width="2"/>
    <col collapsed="false" customWidth="true" hidden="false" outlineLevel="0" max="3" min="3" style="1" width="19"/>
    <col collapsed="false" customWidth="true" hidden="false" outlineLevel="0" max="4" min="4" style="1" width="29"/>
    <col collapsed="false" customWidth="true" hidden="false" outlineLevel="0" max="13" min="5" style="1" width="19"/>
    <col collapsed="false" customWidth="true" hidden="false" outlineLevel="0" max="14" min="14" style="1" width="33"/>
  </cols>
  <sheetData>
    <row r="2" customFormat="false" ht="42.75" hidden="false" customHeight="true" outlineLevel="0" collapsed="false">
      <c r="C2" s="2" t="s">
        <v>135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5" customFormat="false" ht="43.5" hidden="false" customHeight="true" outlineLevel="0" collapsed="false">
      <c r="C5" s="3" t="s">
        <v>136</v>
      </c>
      <c r="D5" s="3" t="s">
        <v>137</v>
      </c>
      <c r="E5" s="3" t="s">
        <v>138</v>
      </c>
      <c r="F5" s="3" t="s">
        <v>139</v>
      </c>
      <c r="G5" s="3" t="s">
        <v>140</v>
      </c>
      <c r="H5" s="3" t="s">
        <v>141</v>
      </c>
      <c r="I5" s="3" t="s">
        <v>142</v>
      </c>
      <c r="J5" s="3" t="s">
        <v>143</v>
      </c>
      <c r="K5" s="3" t="s">
        <v>144</v>
      </c>
      <c r="L5" s="3" t="s">
        <v>145</v>
      </c>
      <c r="M5" s="3" t="s">
        <v>146</v>
      </c>
      <c r="N5" s="3" t="s">
        <v>147</v>
      </c>
    </row>
    <row r="6" customFormat="false" ht="28.5" hidden="false" customHeight="true" outlineLevel="0" collapsed="false">
      <c r="C6" s="4" t="s">
        <v>148</v>
      </c>
      <c r="D6" s="4" t="s">
        <v>149</v>
      </c>
      <c r="E6" s="4" t="s">
        <v>150</v>
      </c>
      <c r="F6" s="30" t="n">
        <v>46280</v>
      </c>
      <c r="G6" s="37" t="n">
        <v>0</v>
      </c>
      <c r="H6" s="37" t="n">
        <v>1</v>
      </c>
      <c r="I6" s="37" t="n">
        <v>15000</v>
      </c>
      <c r="J6" s="31" t="n">
        <v>0</v>
      </c>
      <c r="K6" s="32" t="n">
        <f aca="false">'W Sites'!E26</f>
        <v>5381000</v>
      </c>
      <c r="L6" s="32" t="n">
        <f aca="false">'W Sites'!I6</f>
        <v>162.777777777778</v>
      </c>
      <c r="M6" s="32" t="n">
        <f aca="false">'W Sites'!J6</f>
        <v>63.25</v>
      </c>
      <c r="N6" s="4" t="s">
        <v>151</v>
      </c>
    </row>
    <row r="7" customFormat="false" ht="28.5" hidden="false" customHeight="true" outlineLevel="0" collapsed="false">
      <c r="C7" s="5" t="s">
        <v>152</v>
      </c>
      <c r="D7" s="5" t="s">
        <v>153</v>
      </c>
      <c r="E7" s="5" t="s">
        <v>154</v>
      </c>
      <c r="F7" s="30" t="n">
        <v>46315</v>
      </c>
      <c r="G7" s="37" t="n">
        <v>0</v>
      </c>
      <c r="H7" s="37" t="n">
        <v>1</v>
      </c>
      <c r="I7" s="37" t="n">
        <v>0</v>
      </c>
      <c r="J7" s="31" t="n">
        <v>0.15</v>
      </c>
      <c r="K7" s="33" t="n">
        <f aca="false">'W Sites'!E27</f>
        <v>892695.652173913</v>
      </c>
      <c r="L7" s="33" t="n">
        <f aca="false">'W Sites'!I7</f>
        <v>70</v>
      </c>
      <c r="M7" s="33" t="n">
        <f aca="false">'W Sites'!J7</f>
        <v>35</v>
      </c>
      <c r="N7" s="5" t="s">
        <v>151</v>
      </c>
    </row>
    <row r="8" customFormat="false" ht="28.5" hidden="false" customHeight="true" outlineLevel="0" collapsed="false">
      <c r="C8" s="4" t="s">
        <v>155</v>
      </c>
      <c r="D8" s="4" t="s">
        <v>156</v>
      </c>
      <c r="E8" s="4" t="s">
        <v>157</v>
      </c>
      <c r="F8" s="30" t="n">
        <v>46388</v>
      </c>
      <c r="G8" s="37" t="n">
        <v>0</v>
      </c>
      <c r="H8" s="37" t="n">
        <v>1</v>
      </c>
      <c r="I8" s="37" t="n">
        <v>35000</v>
      </c>
      <c r="J8" s="31" t="n">
        <v>0</v>
      </c>
      <c r="K8" s="32" t="n">
        <f aca="false">'W Sites'!E28</f>
        <v>2400000</v>
      </c>
      <c r="L8" s="32" t="n">
        <f aca="false">'W Sites'!I8</f>
        <v>94.5205479452055</v>
      </c>
      <c r="M8" s="32" t="n">
        <f aca="false">'W Sites'!J8</f>
        <v>65</v>
      </c>
      <c r="N8" s="4" t="s">
        <v>151</v>
      </c>
    </row>
    <row r="9" customFormat="false" ht="28.5" hidden="false" customHeight="true" outlineLevel="0" collapsed="false">
      <c r="C9" s="5" t="s">
        <v>158</v>
      </c>
      <c r="D9" s="5" t="s">
        <v>159</v>
      </c>
      <c r="E9" s="5" t="s">
        <v>157</v>
      </c>
      <c r="F9" s="30" t="n">
        <v>46341</v>
      </c>
      <c r="G9" s="37" t="n">
        <v>0</v>
      </c>
      <c r="H9" s="37" t="n">
        <v>1</v>
      </c>
      <c r="I9" s="37" t="n">
        <v>22000</v>
      </c>
      <c r="J9" s="31" t="n">
        <v>0</v>
      </c>
      <c r="K9" s="33" t="n">
        <f aca="false">'W Sites'!E29</f>
        <v>1680000</v>
      </c>
      <c r="L9" s="33" t="n">
        <f aca="false">'W Sites'!I9</f>
        <v>66.5509259259259</v>
      </c>
      <c r="M9" s="33" t="n">
        <f aca="false">'W Sites'!J9</f>
        <v>65</v>
      </c>
      <c r="N9" s="5" t="s">
        <v>151</v>
      </c>
    </row>
    <row r="10" customFormat="false" ht="28.5" hidden="false" customHeight="true" outlineLevel="0" collapsed="false">
      <c r="C10" s="4" t="s">
        <v>160</v>
      </c>
      <c r="D10" s="4" t="s">
        <v>161</v>
      </c>
      <c r="E10" s="4" t="s">
        <v>157</v>
      </c>
      <c r="F10" s="30" t="n">
        <v>46357</v>
      </c>
      <c r="G10" s="37" t="n">
        <v>0</v>
      </c>
      <c r="H10" s="37" t="n">
        <v>1</v>
      </c>
      <c r="I10" s="37" t="n">
        <v>30000</v>
      </c>
      <c r="J10" s="31" t="n">
        <v>0</v>
      </c>
      <c r="K10" s="32" t="n">
        <f aca="false">'W Sites'!E30</f>
        <v>2160000</v>
      </c>
      <c r="L10" s="32" t="n">
        <f aca="false">'W Sites'!I10</f>
        <v>85.0684931506849</v>
      </c>
      <c r="M10" s="32" t="n">
        <f aca="false">'W Sites'!J10</f>
        <v>65</v>
      </c>
      <c r="N10" s="4" t="s">
        <v>151</v>
      </c>
    </row>
    <row r="11" customFormat="false" ht="28.5" hidden="false" customHeight="true" outlineLevel="0" collapsed="false">
      <c r="C11" s="5" t="s">
        <v>162</v>
      </c>
      <c r="D11" s="5" t="s">
        <v>163</v>
      </c>
      <c r="E11" s="5" t="s">
        <v>157</v>
      </c>
      <c r="F11" s="30" t="n">
        <v>46315</v>
      </c>
      <c r="G11" s="37" t="n">
        <v>0</v>
      </c>
      <c r="H11" s="37" t="n">
        <v>1</v>
      </c>
      <c r="I11" s="37" t="n">
        <v>5000</v>
      </c>
      <c r="J11" s="31" t="n">
        <v>0</v>
      </c>
      <c r="K11" s="33" t="n">
        <f aca="false">'W Sites'!E31</f>
        <v>752765.217391304</v>
      </c>
      <c r="L11" s="33" t="n">
        <f aca="false">'W Sites'!I11</f>
        <v>30</v>
      </c>
      <c r="M11" s="33" t="n">
        <f aca="false">'W Sites'!J11</f>
        <v>60</v>
      </c>
      <c r="N11" s="5" t="s">
        <v>151</v>
      </c>
    </row>
    <row r="12" customFormat="false" ht="28.5" hidden="false" customHeight="true" outlineLevel="0" collapsed="false">
      <c r="C12" s="4" t="s">
        <v>164</v>
      </c>
      <c r="D12" s="4" t="s">
        <v>165</v>
      </c>
      <c r="E12" s="4" t="s">
        <v>154</v>
      </c>
      <c r="F12" s="30" t="n">
        <v>46388</v>
      </c>
      <c r="G12" s="37" t="n">
        <v>0</v>
      </c>
      <c r="H12" s="37" t="n">
        <v>1</v>
      </c>
      <c r="I12" s="37" t="n">
        <v>8000</v>
      </c>
      <c r="J12" s="31" t="n">
        <v>0</v>
      </c>
      <c r="K12" s="32" t="n">
        <f aca="false">'W Sites'!E32</f>
        <v>814226.086956522</v>
      </c>
      <c r="L12" s="32" t="n">
        <f aca="false">'W Sites'!I12</f>
        <v>35</v>
      </c>
      <c r="M12" s="32" t="n">
        <f aca="false">'W Sites'!J12</f>
        <v>60</v>
      </c>
      <c r="N12" s="4" t="s">
        <v>151</v>
      </c>
    </row>
    <row r="13" customFormat="false" ht="28.5" hidden="false" customHeight="true" outlineLevel="0" collapsed="false">
      <c r="C13" s="5" t="s">
        <v>166</v>
      </c>
      <c r="D13" s="5" t="s">
        <v>167</v>
      </c>
      <c r="E13" s="5" t="s">
        <v>168</v>
      </c>
      <c r="F13" s="30" t="n">
        <v>46446</v>
      </c>
      <c r="G13" s="37" t="n">
        <v>0</v>
      </c>
      <c r="H13" s="37" t="n">
        <v>1</v>
      </c>
      <c r="I13" s="37" t="n">
        <v>0</v>
      </c>
      <c r="J13" s="31" t="n">
        <v>0.1</v>
      </c>
      <c r="K13" s="33" t="n">
        <f aca="false">'W Sites'!E33</f>
        <v>2011304.34782609</v>
      </c>
      <c r="L13" s="33" t="n">
        <f aca="false">'W Sites'!I13</f>
        <v>130</v>
      </c>
      <c r="M13" s="33" t="n">
        <f aca="false">'W Sites'!J13</f>
        <v>40</v>
      </c>
      <c r="N13" s="5" t="s">
        <v>151</v>
      </c>
    </row>
    <row r="14" customFormat="false" ht="28.5" hidden="false" customHeight="true" outlineLevel="0" collapsed="false">
      <c r="C14" s="4" t="s">
        <v>169</v>
      </c>
      <c r="D14" s="4" t="s">
        <v>170</v>
      </c>
      <c r="E14" s="4" t="s">
        <v>157</v>
      </c>
      <c r="F14" s="30" t="n">
        <v>46447</v>
      </c>
      <c r="G14" s="37" t="n">
        <v>0</v>
      </c>
      <c r="H14" s="37" t="n">
        <v>0</v>
      </c>
      <c r="I14" s="37" t="n">
        <v>50000</v>
      </c>
      <c r="J14" s="31" t="n">
        <v>0</v>
      </c>
      <c r="K14" s="32" t="n">
        <f aca="false">'W Sites'!E34</f>
        <v>2428695.65217391</v>
      </c>
      <c r="L14" s="32" t="n">
        <f aca="false">'W Sites'!I14</f>
        <v>80</v>
      </c>
      <c r="M14" s="32" t="n">
        <f aca="false">'W Sites'!J14</f>
        <v>75</v>
      </c>
      <c r="N14" s="4" t="s">
        <v>171</v>
      </c>
    </row>
    <row r="15" customFormat="false" ht="28.5" hidden="false" customHeight="true" outlineLevel="0" collapsed="false">
      <c r="C15" s="5" t="s">
        <v>172</v>
      </c>
      <c r="D15" s="5" t="s">
        <v>173</v>
      </c>
      <c r="E15" s="5" t="s">
        <v>174</v>
      </c>
      <c r="F15" s="30" t="n">
        <v>46478</v>
      </c>
      <c r="G15" s="37" t="n">
        <v>0</v>
      </c>
      <c r="H15" s="37" t="n">
        <v>0</v>
      </c>
      <c r="I15" s="37" t="n">
        <v>40000</v>
      </c>
      <c r="J15" s="31" t="n">
        <v>0</v>
      </c>
      <c r="K15" s="33" t="n">
        <f aca="false">'W Sites'!E35</f>
        <v>2581565.2173913</v>
      </c>
      <c r="L15" s="33" t="n">
        <f aca="false">'W Sites'!I15</f>
        <v>110</v>
      </c>
      <c r="M15" s="33" t="n">
        <f aca="false">'W Sites'!J15</f>
        <v>60</v>
      </c>
      <c r="N15" s="5" t="s">
        <v>171</v>
      </c>
    </row>
    <row r="16" customFormat="false" ht="28.5" hidden="false" customHeight="true" outlineLevel="0" collapsed="false"/>
    <row r="17" customFormat="false" ht="28.5" hidden="false" customHeight="true" outlineLevel="0" collapsed="false"/>
    <row r="18" customFormat="false" ht="37.5" hidden="false" customHeight="true" outlineLevel="0" collapsed="false">
      <c r="C18" s="39" t="s">
        <v>175</v>
      </c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</row>
    <row r="19" customFormat="false" ht="37.5" hidden="false" customHeight="true" outlineLevel="0" collapsed="false">
      <c r="C19" s="38" t="s">
        <v>176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</row>
    <row r="20" customFormat="false" ht="37.5" hidden="false" customHeight="true" outlineLevel="0" collapsed="false">
      <c r="C20" s="39" t="s">
        <v>177</v>
      </c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</row>
  </sheetData>
  <mergeCells count="4">
    <mergeCell ref="C2:N2"/>
    <mergeCell ref="C18:N18"/>
    <mergeCell ref="C19:N19"/>
    <mergeCell ref="C20:N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A6AD"/>
    <pageSetUpPr fitToPage="true"/>
  </sheetPr>
  <dimension ref="C2:K20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1" width="2"/>
    <col collapsed="false" customWidth="true" hidden="false" outlineLevel="0" max="3" min="3" style="1" width="30"/>
    <col collapsed="false" customWidth="true" hidden="false" outlineLevel="0" max="10" min="4" style="1" width="19"/>
    <col collapsed="false" customWidth="true" hidden="false" outlineLevel="0" max="11" min="11" style="1" width="55"/>
  </cols>
  <sheetData>
    <row r="2" customFormat="false" ht="42.75" hidden="false" customHeight="true" outlineLevel="0" collapsed="false">
      <c r="C2" s="2" t="s">
        <v>178</v>
      </c>
      <c r="D2" s="2"/>
      <c r="E2" s="2"/>
      <c r="F2" s="2"/>
      <c r="G2" s="2"/>
      <c r="H2" s="2"/>
      <c r="I2" s="2"/>
      <c r="J2" s="2"/>
      <c r="K2" s="2"/>
    </row>
    <row r="5" customFormat="false" ht="43.5" hidden="false" customHeight="true" outlineLevel="0" collapsed="false">
      <c r="C5" s="3" t="s">
        <v>137</v>
      </c>
      <c r="D5" s="3" t="s">
        <v>179</v>
      </c>
      <c r="E5" s="3" t="s">
        <v>180</v>
      </c>
      <c r="F5" s="3" t="s">
        <v>181</v>
      </c>
      <c r="G5" s="3" t="s">
        <v>182</v>
      </c>
      <c r="H5" s="3" t="s">
        <v>183</v>
      </c>
      <c r="I5" s="3" t="s">
        <v>184</v>
      </c>
      <c r="J5" s="3" t="s">
        <v>185</v>
      </c>
      <c r="K5" s="3" t="s">
        <v>186</v>
      </c>
    </row>
    <row r="6" customFormat="false" ht="28.5" hidden="false" customHeight="true" outlineLevel="0" collapsed="false">
      <c r="C6" s="32" t="str">
        <f aca="false">'WOO Sites'!D6</f>
        <v>ساحة سيد الشهداء</v>
      </c>
      <c r="D6" s="32" t="n">
        <f aca="false">'WOO Sites'!K6</f>
        <v>5381000</v>
      </c>
      <c r="E6" s="32" t="n">
        <f aca="false">'W Sites'!H6*'W Sites'!I6*12</f>
        <v>58600</v>
      </c>
      <c r="F6" s="40" t="n">
        <f aca="false">'W Sites'!I6</f>
        <v>162.777777777778</v>
      </c>
      <c r="G6" s="37" t="n">
        <v>4</v>
      </c>
      <c r="H6" s="31" t="n">
        <v>0.05</v>
      </c>
      <c r="I6" s="32" t="n">
        <f aca="false">IFERROR(E6/G6/H6,0)</f>
        <v>293000</v>
      </c>
      <c r="J6" s="41"/>
      <c r="K6" s="4" t="s">
        <v>187</v>
      </c>
    </row>
    <row r="7" customFormat="false" ht="28.5" hidden="false" customHeight="true" outlineLevel="0" collapsed="false">
      <c r="C7" s="33" t="str">
        <f aca="false">'WOO Sites'!D7</f>
        <v>تكية بحر</v>
      </c>
      <c r="D7" s="33" t="n">
        <f aca="false">'WOO Sites'!K7</f>
        <v>892695.652173913</v>
      </c>
      <c r="E7" s="33" t="n">
        <f aca="false">'W Sites'!H7*'W Sites'!I7*12</f>
        <v>25200</v>
      </c>
      <c r="F7" s="42" t="n">
        <f aca="false">'W Sites'!I7</f>
        <v>70</v>
      </c>
      <c r="G7" s="37" t="n">
        <v>4</v>
      </c>
      <c r="H7" s="31" t="n">
        <v>0.05</v>
      </c>
      <c r="I7" s="33" t="n">
        <f aca="false">IFERROR(E7/G7/H7,0)</f>
        <v>126000</v>
      </c>
      <c r="J7" s="41"/>
      <c r="K7" s="5" t="s">
        <v>187</v>
      </c>
    </row>
    <row r="8" customFormat="false" ht="28.5" hidden="false" customHeight="true" outlineLevel="0" collapsed="false">
      <c r="C8" s="32" t="str">
        <f aca="false">'WOO Sites'!D8</f>
        <v>الرياض بارك</v>
      </c>
      <c r="D8" s="32" t="n">
        <f aca="false">'WOO Sites'!K8</f>
        <v>2400000</v>
      </c>
      <c r="E8" s="32" t="n">
        <f aca="false">'W Sites'!H8*'W Sites'!I8*12</f>
        <v>34027.397260274</v>
      </c>
      <c r="F8" s="40" t="n">
        <f aca="false">'W Sites'!I8</f>
        <v>94.5205479452055</v>
      </c>
      <c r="G8" s="37" t="n">
        <v>4</v>
      </c>
      <c r="H8" s="31" t="n">
        <v>0.05</v>
      </c>
      <c r="I8" s="32" t="n">
        <f aca="false">IFERROR(E8/G8/H8,0)</f>
        <v>170136.98630137</v>
      </c>
      <c r="J8" s="41"/>
      <c r="K8" s="4" t="s">
        <v>187</v>
      </c>
    </row>
    <row r="9" customFormat="false" ht="28.5" hidden="false" customHeight="true" outlineLevel="0" collapsed="false">
      <c r="C9" s="33" t="str">
        <f aca="false">'WOO Sites'!D9</f>
        <v>إسبيلانيد</v>
      </c>
      <c r="D9" s="33" t="n">
        <f aca="false">'WOO Sites'!K9</f>
        <v>1680000</v>
      </c>
      <c r="E9" s="33" t="n">
        <f aca="false">'W Sites'!H9*'W Sites'!I9*12</f>
        <v>23958.3333333333</v>
      </c>
      <c r="F9" s="42" t="n">
        <f aca="false">'W Sites'!I9</f>
        <v>66.5509259259259</v>
      </c>
      <c r="G9" s="37" t="n">
        <v>4</v>
      </c>
      <c r="H9" s="31" t="n">
        <v>0.05</v>
      </c>
      <c r="I9" s="33" t="n">
        <f aca="false">IFERROR(E9/G9/H9,0)</f>
        <v>119791.666666667</v>
      </c>
      <c r="J9" s="41"/>
      <c r="K9" s="5" t="s">
        <v>187</v>
      </c>
    </row>
    <row r="10" customFormat="false" ht="28.5" hidden="false" customHeight="true" outlineLevel="0" collapsed="false">
      <c r="C10" s="32" t="str">
        <f aca="false">'WOO Sites'!D10</f>
        <v>روشن فرونت</v>
      </c>
      <c r="D10" s="32" t="n">
        <f aca="false">'WOO Sites'!K10</f>
        <v>2160000</v>
      </c>
      <c r="E10" s="32" t="n">
        <f aca="false">'W Sites'!H10*'W Sites'!I10*12</f>
        <v>30624.6575342466</v>
      </c>
      <c r="F10" s="40" t="n">
        <f aca="false">'W Sites'!I10</f>
        <v>85.0684931506849</v>
      </c>
      <c r="G10" s="37" t="n">
        <v>4</v>
      </c>
      <c r="H10" s="31" t="n">
        <v>0.05</v>
      </c>
      <c r="I10" s="32" t="n">
        <f aca="false">IFERROR(E10/G10/H10,0)</f>
        <v>153123.287671233</v>
      </c>
      <c r="J10" s="41"/>
      <c r="K10" s="4" t="s">
        <v>187</v>
      </c>
    </row>
    <row r="11" customFormat="false" ht="28.5" hidden="false" customHeight="true" outlineLevel="0" collapsed="false">
      <c r="C11" s="33" t="str">
        <f aca="false">'WOO Sites'!D11</f>
        <v>البيوت الثقافية الرياض</v>
      </c>
      <c r="D11" s="33" t="n">
        <f aca="false">'WOO Sites'!K11</f>
        <v>752765.217391304</v>
      </c>
      <c r="E11" s="33" t="n">
        <f aca="false">'W Sites'!H11*'W Sites'!I11*12</f>
        <v>9360</v>
      </c>
      <c r="F11" s="42" t="n">
        <f aca="false">'W Sites'!I11</f>
        <v>30</v>
      </c>
      <c r="G11" s="37" t="n">
        <v>4</v>
      </c>
      <c r="H11" s="31" t="n">
        <v>0.05</v>
      </c>
      <c r="I11" s="33" t="n">
        <f aca="false">IFERROR(E11/G11/H11,0)</f>
        <v>46800</v>
      </c>
      <c r="J11" s="41"/>
      <c r="K11" s="5" t="s">
        <v>187</v>
      </c>
    </row>
    <row r="12" customFormat="false" ht="28.5" hidden="false" customHeight="true" outlineLevel="0" collapsed="false">
      <c r="C12" s="32" t="str">
        <f aca="false">'WOO Sites'!D12</f>
        <v>البيوت الثقافية الدمام</v>
      </c>
      <c r="D12" s="32" t="n">
        <f aca="false">'WOO Sites'!K12</f>
        <v>814226.086956522</v>
      </c>
      <c r="E12" s="32" t="n">
        <f aca="false">'W Sites'!H12*'W Sites'!I12*12</f>
        <v>10920</v>
      </c>
      <c r="F12" s="40" t="n">
        <f aca="false">'W Sites'!I12</f>
        <v>35</v>
      </c>
      <c r="G12" s="37" t="n">
        <v>4</v>
      </c>
      <c r="H12" s="31" t="n">
        <v>0.05</v>
      </c>
      <c r="I12" s="32" t="n">
        <f aca="false">IFERROR(E12/G12/H12,0)</f>
        <v>54600</v>
      </c>
      <c r="J12" s="41"/>
      <c r="K12" s="4" t="s">
        <v>187</v>
      </c>
    </row>
    <row r="13" customFormat="false" ht="28.5" hidden="false" customHeight="true" outlineLevel="0" collapsed="false">
      <c r="C13" s="33" t="str">
        <f aca="false">'WOO Sites'!D13</f>
        <v>مسار مكة</v>
      </c>
      <c r="D13" s="33" t="n">
        <f aca="false">'WOO Sites'!K13</f>
        <v>2011304.34782609</v>
      </c>
      <c r="E13" s="33" t="n">
        <f aca="false">'W Sites'!H13*'W Sites'!I13*12</f>
        <v>46800</v>
      </c>
      <c r="F13" s="42" t="n">
        <f aca="false">'W Sites'!I13</f>
        <v>130</v>
      </c>
      <c r="G13" s="37" t="n">
        <v>4</v>
      </c>
      <c r="H13" s="31" t="n">
        <v>0.05</v>
      </c>
      <c r="I13" s="33" t="n">
        <f aca="false">IFERROR(E13/G13/H13,0)</f>
        <v>234000</v>
      </c>
      <c r="J13" s="41"/>
      <c r="K13" s="5" t="s">
        <v>187</v>
      </c>
    </row>
    <row r="14" customFormat="false" ht="28.5" hidden="false" customHeight="true" outlineLevel="0" collapsed="false">
      <c r="C14" s="32" t="str">
        <f aca="false">'WOO Sites'!D14</f>
        <v>كافد</v>
      </c>
      <c r="D14" s="32" t="n">
        <f aca="false">'WOO Sites'!K14</f>
        <v>2428695.65217391</v>
      </c>
      <c r="E14" s="32" t="n">
        <f aca="false">'W Sites'!H14*'W Sites'!I14*12</f>
        <v>28800</v>
      </c>
      <c r="F14" s="40" t="n">
        <f aca="false">'W Sites'!I14</f>
        <v>80</v>
      </c>
      <c r="G14" s="37" t="n">
        <v>4</v>
      </c>
      <c r="H14" s="31" t="n">
        <v>0.05</v>
      </c>
      <c r="I14" s="32" t="n">
        <f aca="false">IFERROR(E14/G14/H14,0)</f>
        <v>144000</v>
      </c>
      <c r="J14" s="41"/>
      <c r="K14" s="4" t="s">
        <v>187</v>
      </c>
    </row>
    <row r="15" customFormat="false" ht="28.5" hidden="false" customHeight="true" outlineLevel="0" collapsed="false">
      <c r="C15" s="33" t="str">
        <f aca="false">'WOO Sites'!D15</f>
        <v>العثيم</v>
      </c>
      <c r="D15" s="33" t="n">
        <f aca="false">'WOO Sites'!K15</f>
        <v>2581565.2173913</v>
      </c>
      <c r="E15" s="33" t="n">
        <f aca="false">'W Sites'!H15*'W Sites'!I15*12</f>
        <v>39600</v>
      </c>
      <c r="F15" s="42" t="n">
        <f aca="false">'W Sites'!I15</f>
        <v>110</v>
      </c>
      <c r="G15" s="37" t="n">
        <v>4</v>
      </c>
      <c r="H15" s="31" t="n">
        <v>0.05</v>
      </c>
      <c r="I15" s="33" t="n">
        <f aca="false">IFERROR(E15/G15/H15,0)</f>
        <v>198000</v>
      </c>
      <c r="J15" s="41"/>
      <c r="K15" s="5" t="s">
        <v>187</v>
      </c>
    </row>
    <row r="16" customFormat="false" ht="28.5" hidden="false" customHeight="true" outlineLevel="0" collapsed="false"/>
    <row r="17" customFormat="false" ht="28.5" hidden="false" customHeight="true" outlineLevel="0" collapsed="false"/>
    <row r="18" customFormat="false" ht="39.75" hidden="false" customHeight="true" outlineLevel="0" collapsed="false">
      <c r="C18" s="39" t="s">
        <v>188</v>
      </c>
      <c r="D18" s="39"/>
      <c r="E18" s="39"/>
      <c r="F18" s="39"/>
      <c r="G18" s="39"/>
      <c r="H18" s="39"/>
      <c r="I18" s="39"/>
      <c r="J18" s="39"/>
      <c r="K18" s="39"/>
    </row>
    <row r="19" customFormat="false" ht="39.75" hidden="false" customHeight="true" outlineLevel="0" collapsed="false">
      <c r="C19" s="38" t="s">
        <v>189</v>
      </c>
      <c r="D19" s="38"/>
      <c r="E19" s="38"/>
      <c r="F19" s="38"/>
      <c r="G19" s="38"/>
      <c r="H19" s="38"/>
      <c r="I19" s="38"/>
      <c r="J19" s="38"/>
      <c r="K19" s="38"/>
    </row>
    <row r="20" customFormat="false" ht="39.75" hidden="false" customHeight="true" outlineLevel="0" collapsed="false">
      <c r="C20" s="39" t="s">
        <v>190</v>
      </c>
      <c r="D20" s="39"/>
      <c r="E20" s="39"/>
      <c r="F20" s="39"/>
      <c r="G20" s="39"/>
      <c r="H20" s="39"/>
      <c r="I20" s="39"/>
      <c r="J20" s="39"/>
      <c r="K20" s="39"/>
    </row>
  </sheetData>
  <mergeCells count="4">
    <mergeCell ref="C2:K2"/>
    <mergeCell ref="C18:K18"/>
    <mergeCell ref="C19:K19"/>
    <mergeCell ref="C20:K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A6AD"/>
    <pageSetUpPr fitToPage="true"/>
  </sheetPr>
  <dimension ref="C2:S46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1" width="2"/>
    <col collapsed="false" customWidth="true" hidden="false" outlineLevel="0" max="17" min="3" style="1" width="19"/>
    <col collapsed="false" customWidth="true" hidden="false" outlineLevel="0" max="19" min="18" style="1" width="20"/>
  </cols>
  <sheetData>
    <row r="2" customFormat="false" ht="42.75" hidden="false" customHeight="true" outlineLevel="0" collapsed="false">
      <c r="C2" s="2" t="s">
        <v>191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5" customFormat="false" ht="43.5" hidden="false" customHeight="true" outlineLevel="0" collapsed="false">
      <c r="C5" s="3" t="s">
        <v>192</v>
      </c>
      <c r="D5" s="3" t="s">
        <v>193</v>
      </c>
      <c r="E5" s="3" t="s">
        <v>194</v>
      </c>
      <c r="F5" s="3" t="s">
        <v>195</v>
      </c>
      <c r="G5" s="3" t="s">
        <v>196</v>
      </c>
      <c r="H5" s="3" t="s">
        <v>197</v>
      </c>
      <c r="I5" s="3" t="s">
        <v>198</v>
      </c>
      <c r="J5" s="3" t="s">
        <v>199</v>
      </c>
      <c r="K5" s="3" t="s">
        <v>200</v>
      </c>
      <c r="L5" s="3" t="s">
        <v>201</v>
      </c>
      <c r="M5" s="3" t="s">
        <v>202</v>
      </c>
      <c r="N5" s="3" t="s">
        <v>203</v>
      </c>
      <c r="O5" s="3" t="s">
        <v>204</v>
      </c>
      <c r="P5" s="3" t="s">
        <v>205</v>
      </c>
      <c r="Q5" s="3" t="s">
        <v>206</v>
      </c>
      <c r="R5" s="43" t="s">
        <v>207</v>
      </c>
      <c r="S5" s="43" t="s">
        <v>208</v>
      </c>
    </row>
    <row r="6" customFormat="false" ht="28.5" hidden="false" customHeight="true" outlineLevel="0" collapsed="false">
      <c r="C6" s="44" t="n">
        <f aca="false">'W Cash Flow'!H6</f>
        <v>46266</v>
      </c>
      <c r="D6" s="32" t="n">
        <v>1</v>
      </c>
      <c r="E6" s="32" t="n">
        <f aca="false">'W Cash Flow'!H41</f>
        <v>-548420.977777778</v>
      </c>
      <c r="F6" s="32" t="n">
        <f aca="false">MAX(0,Sources!D9+Sources!D12)*Terms!$D$22/12</f>
        <v>70323.4070312031</v>
      </c>
      <c r="G6" s="32" t="n">
        <f aca="false">IF(MOD(ROW()-5,12)=0,WOO!D10,0)</f>
        <v>0</v>
      </c>
      <c r="H6" s="32" t="n">
        <f aca="false">IF(MOD(ROW()-5,12)=0,Terms!D27,0)</f>
        <v>0</v>
      </c>
      <c r="I6" s="32" t="n">
        <f aca="false">WOO!D14/12</f>
        <v>23315.6380197368</v>
      </c>
      <c r="J6" s="32" t="n">
        <f aca="false">'W Cash Flow'!H46</f>
        <v>73200</v>
      </c>
      <c r="K6" s="32" t="n">
        <f aca="false">E6-SUM(F6:J6)</f>
        <v>-715260.022828718</v>
      </c>
      <c r="L6" s="32" t="n">
        <f aca="false">SUMIFS(Funding!$H$6:$H$8,Funding!$C$6:$C$8,"&gt;="&amp;C6,Funding!$C$6:$C$8,"&lt;"&amp;EDATE(C6,1))</f>
        <v>0</v>
      </c>
      <c r="M6" s="32" t="n">
        <f aca="false">Funding!D21+SUMIFS(Funding!$H$6:$H$8,Funding!$C$6:$C$8,"&lt;"&amp;C6)</f>
        <v>0</v>
      </c>
      <c r="N6" s="32" t="n">
        <f aca="false">SUM(K6:M6)</f>
        <v>-715260.022828718</v>
      </c>
      <c r="O6" s="32" t="n">
        <f aca="false">IF(D6=1,0,IF(MOD(ROW()-5,12)=0,MAX(0,MIN(WOO!D15*Terms!$D$21,N6-Sources!$D$16-R6)),0))</f>
        <v>0</v>
      </c>
      <c r="P6" s="32" t="n">
        <f aca="false">N6-O6</f>
        <v>-715260.022828718</v>
      </c>
      <c r="Q6" s="32" t="n">
        <f aca="false">MAX(0,-P6)</f>
        <v>715260.022828718</v>
      </c>
      <c r="R6" s="32" t="n">
        <f aca="false">MAX(0,'W Cash Flow'!H44)</f>
        <v>0</v>
      </c>
      <c r="S6" s="32" t="n">
        <f aca="false">IF(C6&gt;=DATE(YEAR(Funding!$C$6),MONTH(Funding!$C$6),1),P6,1E+099)</f>
        <v>1E+099</v>
      </c>
    </row>
    <row r="7" customFormat="false" ht="28.5" hidden="false" customHeight="true" outlineLevel="0" collapsed="false">
      <c r="C7" s="45" t="n">
        <f aca="false">'W Cash Flow'!I6</f>
        <v>46296</v>
      </c>
      <c r="D7" s="33" t="n">
        <v>1</v>
      </c>
      <c r="E7" s="33" t="n">
        <f aca="false">'W Cash Flow'!I41</f>
        <v>-430104.69733586</v>
      </c>
      <c r="F7" s="33" t="n">
        <f aca="false">MAX(0,Sources!D9+Sources!D12)*Terms!$D$22/12</f>
        <v>70323.4070312031</v>
      </c>
      <c r="G7" s="33" t="n">
        <f aca="false">IF(MOD(ROW()-5,12)=0,WOO!D10,0)</f>
        <v>0</v>
      </c>
      <c r="H7" s="33" t="n">
        <f aca="false">IF(MOD(ROW()-5,12)=0,Terms!D27,0)</f>
        <v>0</v>
      </c>
      <c r="I7" s="33" t="n">
        <f aca="false">WOO!D14/12</f>
        <v>23315.6380197368</v>
      </c>
      <c r="J7" s="33" t="n">
        <f aca="false">'W Cash Flow'!I46</f>
        <v>58800</v>
      </c>
      <c r="K7" s="33" t="n">
        <f aca="false">E7-SUM(F7:J7)</f>
        <v>-582543.7423868</v>
      </c>
      <c r="L7" s="33" t="n">
        <f aca="false">SUMIFS(Funding!$H$6:$H$8,Funding!$C$6:$C$8,"&gt;="&amp;C7,Funding!$C$6:$C$8,"&lt;"&amp;EDATE(C7,1))</f>
        <v>3500000</v>
      </c>
      <c r="M7" s="33" t="n">
        <f aca="false">P6</f>
        <v>-715260.022828718</v>
      </c>
      <c r="N7" s="33" t="n">
        <f aca="false">SUM(K7:M7)</f>
        <v>2202196.23478448</v>
      </c>
      <c r="O7" s="33" t="n">
        <f aca="false">IF(D7=1,0,IF(MOD(ROW()-5,12)=0,MAX(0,MIN(WOO!D15*Terms!$D$21,N7-Sources!$D$16-R7)),0))</f>
        <v>0</v>
      </c>
      <c r="P7" s="33" t="n">
        <f aca="false">N7-O7</f>
        <v>2202196.23478448</v>
      </c>
      <c r="Q7" s="33" t="n">
        <f aca="false">MAX(0,-P7)</f>
        <v>0</v>
      </c>
      <c r="R7" s="33" t="n">
        <f aca="false">MAX(0,'W Cash Flow'!I44)</f>
        <v>0</v>
      </c>
      <c r="S7" s="33" t="n">
        <f aca="false">IF(C7&gt;=DATE(YEAR(Funding!$C$6),MONTH(Funding!$C$6),1),P7,1E+099)</f>
        <v>2202196.23478448</v>
      </c>
    </row>
    <row r="8" customFormat="false" ht="28.5" hidden="false" customHeight="true" outlineLevel="0" collapsed="false">
      <c r="C8" s="44" t="n">
        <f aca="false">'W Cash Flow'!J6</f>
        <v>46327</v>
      </c>
      <c r="D8" s="32" t="n">
        <v>1</v>
      </c>
      <c r="E8" s="32" t="n">
        <f aca="false">'W Cash Flow'!J41</f>
        <v>-650551.164782363</v>
      </c>
      <c r="F8" s="32" t="n">
        <f aca="false">MAX(0,Sources!D9+Sources!D12)*Terms!$D$22/12</f>
        <v>70323.4070312031</v>
      </c>
      <c r="G8" s="32" t="n">
        <f aca="false">IF(MOD(ROW()-5,12)=0,WOO!D10,0)</f>
        <v>0</v>
      </c>
      <c r="H8" s="32" t="n">
        <f aca="false">IF(MOD(ROW()-5,12)=0,Terms!D27,0)</f>
        <v>0</v>
      </c>
      <c r="I8" s="32" t="n">
        <f aca="false">WOO!D14/12</f>
        <v>23315.6380197368</v>
      </c>
      <c r="J8" s="32" t="n">
        <f aca="false">'W Cash Flow'!J46</f>
        <v>97500</v>
      </c>
      <c r="K8" s="32" t="n">
        <f aca="false">E8-SUM(F8:J8)</f>
        <v>-841690.209833302</v>
      </c>
      <c r="L8" s="32" t="n">
        <f aca="false">SUMIFS(Funding!$H$6:$H$8,Funding!$C$6:$C$8,"&gt;="&amp;C8,Funding!$C$6:$C$8,"&lt;"&amp;EDATE(C8,1))</f>
        <v>0</v>
      </c>
      <c r="M8" s="32" t="n">
        <f aca="false">P7</f>
        <v>2202196.23478448</v>
      </c>
      <c r="N8" s="32" t="n">
        <f aca="false">SUM(K8:M8)</f>
        <v>1360506.02495118</v>
      </c>
      <c r="O8" s="32" t="n">
        <f aca="false">IF(D8=1,0,IF(MOD(ROW()-5,12)=0,MAX(0,MIN(WOO!D15*Terms!$D$21,N8-Sources!$D$16-R8)),0))</f>
        <v>0</v>
      </c>
      <c r="P8" s="32" t="n">
        <f aca="false">N8-O8</f>
        <v>1360506.02495118</v>
      </c>
      <c r="Q8" s="32" t="n">
        <f aca="false">MAX(0,-P8)</f>
        <v>0</v>
      </c>
      <c r="R8" s="32" t="n">
        <f aca="false">MAX(0,'W Cash Flow'!J44)</f>
        <v>0</v>
      </c>
      <c r="S8" s="32" t="n">
        <f aca="false">IF(C8&gt;=DATE(YEAR(Funding!$C$6),MONTH(Funding!$C$6),1),P8,1E+099)</f>
        <v>1360506.02495118</v>
      </c>
    </row>
    <row r="9" customFormat="false" ht="28.5" hidden="false" customHeight="true" outlineLevel="0" collapsed="false">
      <c r="C9" s="45" t="n">
        <f aca="false">'W Cash Flow'!K6</f>
        <v>46357</v>
      </c>
      <c r="D9" s="33" t="n">
        <v>1</v>
      </c>
      <c r="E9" s="33" t="n">
        <f aca="false">'W Cash Flow'!K41</f>
        <v>-568818.956094584</v>
      </c>
      <c r="F9" s="33" t="n">
        <f aca="false">MAX(0,Sources!D9+Sources!D12)*Terms!$D$22/12</f>
        <v>70323.4070312031</v>
      </c>
      <c r="G9" s="33" t="n">
        <f aca="false">IF(MOD(ROW()-5,12)=0,WOO!D10,0)</f>
        <v>0</v>
      </c>
      <c r="H9" s="33" t="n">
        <f aca="false">IF(MOD(ROW()-5,12)=0,Terms!D27,0)</f>
        <v>0</v>
      </c>
      <c r="I9" s="33" t="n">
        <f aca="false">WOO!D14/12</f>
        <v>23315.6380197368</v>
      </c>
      <c r="J9" s="33" t="n">
        <f aca="false">'W Cash Flow'!K46</f>
        <v>139500</v>
      </c>
      <c r="K9" s="33" t="n">
        <f aca="false">E9-SUM(F9:J9)</f>
        <v>-801958.001145524</v>
      </c>
      <c r="L9" s="33" t="n">
        <f aca="false">SUMIFS(Funding!$H$6:$H$8,Funding!$C$6:$C$8,"&gt;="&amp;C9,Funding!$C$6:$C$8,"&lt;"&amp;EDATE(C9,1))</f>
        <v>0</v>
      </c>
      <c r="M9" s="33" t="n">
        <f aca="false">P8</f>
        <v>1360506.02495118</v>
      </c>
      <c r="N9" s="33" t="n">
        <f aca="false">SUM(K9:M9)</f>
        <v>558548.023805656</v>
      </c>
      <c r="O9" s="33" t="n">
        <f aca="false">IF(D9=1,0,IF(MOD(ROW()-5,12)=0,MAX(0,MIN(WOO!D15*Terms!$D$21,N9-Sources!$D$16-R9)),0))</f>
        <v>0</v>
      </c>
      <c r="P9" s="33" t="n">
        <f aca="false">N9-O9</f>
        <v>558548.023805656</v>
      </c>
      <c r="Q9" s="33" t="n">
        <f aca="false">MAX(0,-P9)</f>
        <v>0</v>
      </c>
      <c r="R9" s="33" t="n">
        <f aca="false">MAX(0,'W Cash Flow'!K44)</f>
        <v>0</v>
      </c>
      <c r="S9" s="33" t="n">
        <f aca="false">IF(C9&gt;=DATE(YEAR(Funding!$C$6),MONTH(Funding!$C$6),1),P9,1E+099)</f>
        <v>558548.023805656</v>
      </c>
    </row>
    <row r="10" customFormat="false" ht="28.5" hidden="false" customHeight="true" outlineLevel="0" collapsed="false">
      <c r="C10" s="44" t="n">
        <f aca="false">'W Cash Flow'!L6</f>
        <v>46388</v>
      </c>
      <c r="D10" s="32" t="n">
        <v>1</v>
      </c>
      <c r="E10" s="32" t="n">
        <f aca="false">'W Cash Flow'!L41</f>
        <v>-807141.265293669</v>
      </c>
      <c r="F10" s="32" t="n">
        <f aca="false">MAX(0,Sources!D9+Sources!D12)*Terms!$D$22/12</f>
        <v>70323.4070312031</v>
      </c>
      <c r="G10" s="32" t="n">
        <f aca="false">IF(MOD(ROW()-5,12)=0,WOO!D10,0)</f>
        <v>0</v>
      </c>
      <c r="H10" s="32" t="n">
        <f aca="false">IF(MOD(ROW()-5,12)=0,Terms!D27,0)</f>
        <v>0</v>
      </c>
      <c r="I10" s="32" t="n">
        <f aca="false">WOO!D14/12</f>
        <v>23315.6380197368</v>
      </c>
      <c r="J10" s="32" t="n">
        <f aca="false">'W Cash Flow'!L46</f>
        <v>171000</v>
      </c>
      <c r="K10" s="32" t="n">
        <f aca="false">E10-SUM(F10:J10)</f>
        <v>-1071780.31034461</v>
      </c>
      <c r="L10" s="32" t="n">
        <f aca="false">SUMIFS(Funding!$H$6:$H$8,Funding!$C$6:$C$8,"&gt;="&amp;C10,Funding!$C$6:$C$8,"&lt;"&amp;EDATE(C10,1))</f>
        <v>2100000</v>
      </c>
      <c r="M10" s="32" t="n">
        <f aca="false">P9</f>
        <v>558548.023805656</v>
      </c>
      <c r="N10" s="32" t="n">
        <f aca="false">SUM(K10:M10)</f>
        <v>1586767.71346105</v>
      </c>
      <c r="O10" s="32" t="n">
        <f aca="false">IF(D10=1,0,IF(MOD(ROW()-5,12)=0,MAX(0,MIN(WOO!D15*Terms!$D$21,N10-Sources!$D$16-R10)),0))</f>
        <v>0</v>
      </c>
      <c r="P10" s="32" t="n">
        <f aca="false">N10-O10</f>
        <v>1586767.71346105</v>
      </c>
      <c r="Q10" s="32" t="n">
        <f aca="false">MAX(0,-P10)</f>
        <v>0</v>
      </c>
      <c r="R10" s="32" t="n">
        <f aca="false">MAX(0,'W Cash Flow'!L44)</f>
        <v>0</v>
      </c>
      <c r="S10" s="32" t="n">
        <f aca="false">IF(C10&gt;=DATE(YEAR(Funding!$C$6),MONTH(Funding!$C$6),1),P10,1E+099)</f>
        <v>1586767.71346105</v>
      </c>
    </row>
    <row r="11" customFormat="false" ht="28.5" hidden="false" customHeight="true" outlineLevel="0" collapsed="false">
      <c r="C11" s="45" t="n">
        <f aca="false">'W Cash Flow'!M6</f>
        <v>46419</v>
      </c>
      <c r="D11" s="33" t="n">
        <v>1</v>
      </c>
      <c r="E11" s="33" t="n">
        <f aca="false">'W Cash Flow'!M41</f>
        <v>-160742.1246909</v>
      </c>
      <c r="F11" s="33" t="n">
        <f aca="false">MAX(0,Sources!D9+Sources!D12)*Terms!$D$22/12</f>
        <v>70323.4070312031</v>
      </c>
      <c r="G11" s="33" t="n">
        <f aca="false">IF(MOD(ROW()-5,12)=0,WOO!D10,0)</f>
        <v>0</v>
      </c>
      <c r="H11" s="33" t="n">
        <f aca="false">IF(MOD(ROW()-5,12)=0,Terms!D27,0)</f>
        <v>0</v>
      </c>
      <c r="I11" s="33" t="n">
        <f aca="false">WOO!D14/12</f>
        <v>23315.6380197368</v>
      </c>
      <c r="J11" s="33" t="n">
        <f aca="false">'W Cash Flow'!M46</f>
        <v>72000</v>
      </c>
      <c r="K11" s="33" t="n">
        <f aca="false">E11-SUM(F11:J11)</f>
        <v>-326381.16974184</v>
      </c>
      <c r="L11" s="33" t="n">
        <f aca="false">SUMIFS(Funding!$H$6:$H$8,Funding!$C$6:$C$8,"&gt;="&amp;C11,Funding!$C$6:$C$8,"&lt;"&amp;EDATE(C11,1))</f>
        <v>0</v>
      </c>
      <c r="M11" s="33" t="n">
        <f aca="false">P10</f>
        <v>1586767.71346105</v>
      </c>
      <c r="N11" s="33" t="n">
        <f aca="false">SUM(K11:M11)</f>
        <v>1260386.54371921</v>
      </c>
      <c r="O11" s="33" t="n">
        <f aca="false">IF(D11=1,0,IF(MOD(ROW()-5,12)=0,MAX(0,MIN(WOO!D15*Terms!$D$21,N11-Sources!$D$16-R11)),0))</f>
        <v>0</v>
      </c>
      <c r="P11" s="33" t="n">
        <f aca="false">N11-O11</f>
        <v>1260386.54371921</v>
      </c>
      <c r="Q11" s="33" t="n">
        <f aca="false">MAX(0,-P11)</f>
        <v>0</v>
      </c>
      <c r="R11" s="33" t="n">
        <f aca="false">MAX(0,'W Cash Flow'!M44)</f>
        <v>0</v>
      </c>
      <c r="S11" s="33" t="n">
        <f aca="false">IF(C11&gt;=DATE(YEAR(Funding!$C$6),MONTH(Funding!$C$6),1),P11,1E+099)</f>
        <v>1260386.54371921</v>
      </c>
    </row>
    <row r="12" customFormat="false" ht="28.5" hidden="false" customHeight="true" outlineLevel="0" collapsed="false">
      <c r="C12" s="44" t="n">
        <f aca="false">'W Cash Flow'!N6</f>
        <v>46447</v>
      </c>
      <c r="D12" s="32" t="n">
        <v>1</v>
      </c>
      <c r="E12" s="32" t="n">
        <f aca="false">'W Cash Flow'!N41</f>
        <v>658990.833431405</v>
      </c>
      <c r="F12" s="32" t="n">
        <f aca="false">MAX(0,Sources!D9+Sources!D12)*Terms!$D$22/12</f>
        <v>70323.4070312031</v>
      </c>
      <c r="G12" s="32" t="n">
        <f aca="false">IF(MOD(ROW()-5,12)=0,WOO!D10,0)</f>
        <v>0</v>
      </c>
      <c r="H12" s="32" t="n">
        <f aca="false">IF(MOD(ROW()-5,12)=0,Terms!D27,0)</f>
        <v>0</v>
      </c>
      <c r="I12" s="32" t="n">
        <f aca="false">WOO!D14/12</f>
        <v>23315.6380197368</v>
      </c>
      <c r="J12" s="32" t="n">
        <f aca="false">'W Cash Flow'!N46</f>
        <v>0</v>
      </c>
      <c r="K12" s="32" t="n">
        <f aca="false">E12-SUM(F12:J12)</f>
        <v>565351.788380465</v>
      </c>
      <c r="L12" s="32" t="n">
        <f aca="false">SUMIFS(Funding!$H$6:$H$8,Funding!$C$6:$C$8,"&gt;="&amp;C12,Funding!$C$6:$C$8,"&lt;"&amp;EDATE(C12,1))</f>
        <v>0</v>
      </c>
      <c r="M12" s="32" t="n">
        <f aca="false">P11</f>
        <v>1260386.54371921</v>
      </c>
      <c r="N12" s="32" t="n">
        <f aca="false">SUM(K12:M12)</f>
        <v>1825738.33209967</v>
      </c>
      <c r="O12" s="32" t="n">
        <f aca="false">IF(D12=1,0,IF(MOD(ROW()-5,12)=0,MAX(0,MIN(WOO!D15*Terms!$D$21,N12-Sources!$D$16-R12)),0))</f>
        <v>0</v>
      </c>
      <c r="P12" s="32" t="n">
        <f aca="false">N12-O12</f>
        <v>1825738.33209967</v>
      </c>
      <c r="Q12" s="32" t="n">
        <f aca="false">MAX(0,-P12)</f>
        <v>0</v>
      </c>
      <c r="R12" s="32" t="n">
        <f aca="false">MAX(0,'W Cash Flow'!N44)</f>
        <v>0</v>
      </c>
      <c r="S12" s="32" t="n">
        <f aca="false">IF(C12&gt;=DATE(YEAR(Funding!$C$6),MONTH(Funding!$C$6),1),P12,1E+099)</f>
        <v>1825738.33209967</v>
      </c>
    </row>
    <row r="13" customFormat="false" ht="28.5" hidden="false" customHeight="true" outlineLevel="0" collapsed="false">
      <c r="C13" s="45" t="n">
        <f aca="false">'W Cash Flow'!O6</f>
        <v>46478</v>
      </c>
      <c r="D13" s="33" t="n">
        <v>1</v>
      </c>
      <c r="E13" s="33" t="n">
        <f aca="false">'W Cash Flow'!O41</f>
        <v>658894.823493516</v>
      </c>
      <c r="F13" s="33" t="n">
        <f aca="false">MAX(0,Sources!D9+Sources!D12)*Terms!$D$22/12</f>
        <v>70323.4070312031</v>
      </c>
      <c r="G13" s="33" t="n">
        <f aca="false">IF(MOD(ROW()-5,12)=0,WOO!D10,0)</f>
        <v>0</v>
      </c>
      <c r="H13" s="33" t="n">
        <f aca="false">IF(MOD(ROW()-5,12)=0,Terms!D27,0)</f>
        <v>0</v>
      </c>
      <c r="I13" s="33" t="n">
        <f aca="false">WOO!D14/12</f>
        <v>23315.6380197368</v>
      </c>
      <c r="J13" s="33" t="n">
        <f aca="false">'W Cash Flow'!O46</f>
        <v>0</v>
      </c>
      <c r="K13" s="33" t="n">
        <f aca="false">E13-SUM(F13:J13)</f>
        <v>565255.778442576</v>
      </c>
      <c r="L13" s="33" t="n">
        <f aca="false">SUMIFS(Funding!$H$6:$H$8,Funding!$C$6:$C$8,"&gt;="&amp;C13,Funding!$C$6:$C$8,"&lt;"&amp;EDATE(C13,1))</f>
        <v>1400000</v>
      </c>
      <c r="M13" s="33" t="n">
        <f aca="false">P12</f>
        <v>1825738.33209967</v>
      </c>
      <c r="N13" s="33" t="n">
        <f aca="false">SUM(K13:M13)</f>
        <v>3790994.11054225</v>
      </c>
      <c r="O13" s="33" t="n">
        <f aca="false">IF(D13=1,0,IF(MOD(ROW()-5,12)=0,MAX(0,MIN(WOO!D15*Terms!$D$21,N13-Sources!$D$16-R13)),0))</f>
        <v>0</v>
      </c>
      <c r="P13" s="33" t="n">
        <f aca="false">N13-O13</f>
        <v>3790994.11054225</v>
      </c>
      <c r="Q13" s="33" t="n">
        <f aca="false">MAX(0,-P13)</f>
        <v>0</v>
      </c>
      <c r="R13" s="33" t="n">
        <f aca="false">MAX(0,'W Cash Flow'!O44)</f>
        <v>31402.7894736841</v>
      </c>
      <c r="S13" s="33" t="n">
        <f aca="false">IF(C13&gt;=DATE(YEAR(Funding!$C$6),MONTH(Funding!$C$6),1),P13,1E+099)</f>
        <v>3790994.11054225</v>
      </c>
    </row>
    <row r="14" customFormat="false" ht="28.5" hidden="false" customHeight="true" outlineLevel="0" collapsed="false">
      <c r="C14" s="44" t="n">
        <f aca="false">'W Cash Flow'!P6</f>
        <v>46508</v>
      </c>
      <c r="D14" s="32" t="n">
        <v>1</v>
      </c>
      <c r="E14" s="32" t="n">
        <f aca="false">'W Cash Flow'!P41</f>
        <v>410118.350464749</v>
      </c>
      <c r="F14" s="32" t="n">
        <f aca="false">MAX(0,Sources!D9+Sources!D12)*Terms!$D$22/12</f>
        <v>70323.4070312031</v>
      </c>
      <c r="G14" s="32" t="n">
        <f aca="false">IF(MOD(ROW()-5,12)=0,WOO!D10,0)</f>
        <v>0</v>
      </c>
      <c r="H14" s="32" t="n">
        <f aca="false">IF(MOD(ROW()-5,12)=0,Terms!D27,0)</f>
        <v>0</v>
      </c>
      <c r="I14" s="32" t="n">
        <f aca="false">WOO!D14/12</f>
        <v>23315.6380197368</v>
      </c>
      <c r="J14" s="32" t="n">
        <f aca="false">'W Cash Flow'!P46</f>
        <v>0</v>
      </c>
      <c r="K14" s="32" t="n">
        <f aca="false">E14-SUM(F14:J14)</f>
        <v>316479.305413809</v>
      </c>
      <c r="L14" s="32" t="n">
        <f aca="false">SUMIFS(Funding!$H$6:$H$8,Funding!$C$6:$C$8,"&gt;="&amp;C14,Funding!$C$6:$C$8,"&lt;"&amp;EDATE(C14,1))</f>
        <v>0</v>
      </c>
      <c r="M14" s="32" t="n">
        <f aca="false">P13</f>
        <v>3790994.11054225</v>
      </c>
      <c r="N14" s="32" t="n">
        <f aca="false">SUM(K14:M14)</f>
        <v>4107473.41595606</v>
      </c>
      <c r="O14" s="32" t="n">
        <f aca="false">IF(D14=1,0,IF(MOD(ROW()-5,12)=0,MAX(0,MIN(WOO!D15*Terms!$D$21,N14-Sources!$D$16-R14)),0))</f>
        <v>0</v>
      </c>
      <c r="P14" s="32" t="n">
        <f aca="false">N14-O14</f>
        <v>4107473.41595606</v>
      </c>
      <c r="Q14" s="32" t="n">
        <f aca="false">MAX(0,-P14)</f>
        <v>0</v>
      </c>
      <c r="R14" s="32" t="n">
        <f aca="false">MAX(0,'W Cash Flow'!P44)</f>
        <v>70354.3684210526</v>
      </c>
      <c r="S14" s="32" t="n">
        <f aca="false">IF(C14&gt;=DATE(YEAR(Funding!$C$6),MONTH(Funding!$C$6),1),P14,1E+099)</f>
        <v>4107473.41595606</v>
      </c>
    </row>
    <row r="15" customFormat="false" ht="28.5" hidden="false" customHeight="true" outlineLevel="0" collapsed="false">
      <c r="C15" s="45" t="n">
        <f aca="false">'W Cash Flow'!Q6</f>
        <v>46539</v>
      </c>
      <c r="D15" s="33" t="n">
        <v>1</v>
      </c>
      <c r="E15" s="33" t="n">
        <f aca="false">'W Cash Flow'!Q41</f>
        <v>482684.501754386</v>
      </c>
      <c r="F15" s="33" t="n">
        <f aca="false">MAX(0,Sources!D9+Sources!D12)*Terms!$D$22/12</f>
        <v>70323.4070312031</v>
      </c>
      <c r="G15" s="33" t="n">
        <f aca="false">IF(MOD(ROW()-5,12)=0,WOO!D10,0)</f>
        <v>0</v>
      </c>
      <c r="H15" s="33" t="n">
        <f aca="false">IF(MOD(ROW()-5,12)=0,Terms!D27,0)</f>
        <v>0</v>
      </c>
      <c r="I15" s="33" t="n">
        <f aca="false">WOO!D14/12</f>
        <v>23315.6380197368</v>
      </c>
      <c r="J15" s="33" t="n">
        <f aca="false">'W Cash Flow'!Q46</f>
        <v>0</v>
      </c>
      <c r="K15" s="33" t="n">
        <f aca="false">E15-SUM(F15:J15)</f>
        <v>389045.456703446</v>
      </c>
      <c r="L15" s="33" t="n">
        <f aca="false">SUMIFS(Funding!$H$6:$H$8,Funding!$C$6:$C$8,"&gt;="&amp;C15,Funding!$C$6:$C$8,"&lt;"&amp;EDATE(C15,1))</f>
        <v>0</v>
      </c>
      <c r="M15" s="33" t="n">
        <f aca="false">P14</f>
        <v>4107473.41595606</v>
      </c>
      <c r="N15" s="33" t="n">
        <f aca="false">SUM(K15:M15)</f>
        <v>4496518.8726595</v>
      </c>
      <c r="O15" s="33" t="n">
        <f aca="false">IF(D15=1,0,IF(MOD(ROW()-5,12)=0,MAX(0,MIN(WOO!D15*Terms!$D$21,N15-Sources!$D$16-R15)),0))</f>
        <v>0</v>
      </c>
      <c r="P15" s="33" t="n">
        <f aca="false">N15-O15</f>
        <v>4496518.8726595</v>
      </c>
      <c r="Q15" s="33" t="n">
        <f aca="false">MAX(0,-P15)</f>
        <v>0</v>
      </c>
      <c r="R15" s="33" t="n">
        <f aca="false">MAX(0,'W Cash Flow'!Q44)</f>
        <v>109305.947368421</v>
      </c>
      <c r="S15" s="33" t="n">
        <f aca="false">IF(C15&gt;=DATE(YEAR(Funding!$C$6),MONTH(Funding!$C$6),1),P15,1E+099)</f>
        <v>4496518.8726595</v>
      </c>
    </row>
    <row r="16" customFormat="false" ht="28.5" hidden="false" customHeight="true" outlineLevel="0" collapsed="false">
      <c r="C16" s="44" t="n">
        <f aca="false">'W Cash Flow'!R6</f>
        <v>46569</v>
      </c>
      <c r="D16" s="32" t="n">
        <v>1</v>
      </c>
      <c r="E16" s="32" t="n">
        <f aca="false">'W Cash Flow'!R41</f>
        <v>583286.388710908</v>
      </c>
      <c r="F16" s="32" t="n">
        <f aca="false">MAX(0,Sources!D9+Sources!D12)*Terms!$D$22/12</f>
        <v>70323.4070312031</v>
      </c>
      <c r="G16" s="32" t="n">
        <f aca="false">IF(MOD(ROW()-5,12)=0,WOO!D10,0)</f>
        <v>0</v>
      </c>
      <c r="H16" s="32" t="n">
        <f aca="false">IF(MOD(ROW()-5,12)=0,Terms!D27,0)</f>
        <v>0</v>
      </c>
      <c r="I16" s="32" t="n">
        <f aca="false">WOO!D14/12</f>
        <v>23315.6380197368</v>
      </c>
      <c r="J16" s="32" t="n">
        <f aca="false">'W Cash Flow'!R46</f>
        <v>0</v>
      </c>
      <c r="K16" s="32" t="n">
        <f aca="false">E16-SUM(F16:J16)</f>
        <v>489647.343659968</v>
      </c>
      <c r="L16" s="32" t="n">
        <f aca="false">SUMIFS(Funding!$H$6:$H$8,Funding!$C$6:$C$8,"&gt;="&amp;C16,Funding!$C$6:$C$8,"&lt;"&amp;EDATE(C16,1))</f>
        <v>0</v>
      </c>
      <c r="M16" s="32" t="n">
        <f aca="false">P15</f>
        <v>4496518.8726595</v>
      </c>
      <c r="N16" s="32" t="n">
        <f aca="false">SUM(K16:M16)</f>
        <v>4986166.21631947</v>
      </c>
      <c r="O16" s="32" t="n">
        <f aca="false">IF(D16=1,0,IF(MOD(ROW()-5,12)=0,MAX(0,MIN(WOO!D15*Terms!$D$21,N16-Sources!$D$16-R16)),0))</f>
        <v>0</v>
      </c>
      <c r="P16" s="32" t="n">
        <f aca="false">N16-O16</f>
        <v>4986166.21631947</v>
      </c>
      <c r="Q16" s="32" t="n">
        <f aca="false">MAX(0,-P16)</f>
        <v>0</v>
      </c>
      <c r="R16" s="32" t="n">
        <f aca="false">MAX(0,'W Cash Flow'!R44)</f>
        <v>148257.526315789</v>
      </c>
      <c r="S16" s="32" t="n">
        <f aca="false">IF(C16&gt;=DATE(YEAR(Funding!$C$6),MONTH(Funding!$C$6),1),P16,1E+099)</f>
        <v>4986166.21631947</v>
      </c>
    </row>
    <row r="17" customFormat="false" ht="28.5" hidden="false" customHeight="true" outlineLevel="0" collapsed="false">
      <c r="C17" s="45" t="n">
        <f aca="false">'W Cash Flow'!S6</f>
        <v>46600</v>
      </c>
      <c r="D17" s="33" t="n">
        <v>1</v>
      </c>
      <c r="E17" s="33" t="n">
        <f aca="false">'W Cash Flow'!S41</f>
        <v>511208.709992372</v>
      </c>
      <c r="F17" s="33" t="n">
        <f aca="false">MAX(0,Sources!D9+Sources!D12)*Terms!$D$22/12</f>
        <v>70323.4070312031</v>
      </c>
      <c r="G17" s="33" t="n">
        <f aca="false">IF(MOD(ROW()-5,12)=0,WOO!D10,0)</f>
        <v>458042.395423124</v>
      </c>
      <c r="H17" s="33" t="n">
        <f aca="false">IF(MOD(ROW()-5,12)=0,Terms!D27,0)</f>
        <v>1500000</v>
      </c>
      <c r="I17" s="33" t="n">
        <f aca="false">WOO!D14/12</f>
        <v>23315.6380197368</v>
      </c>
      <c r="J17" s="33" t="n">
        <f aca="false">'W Cash Flow'!S46</f>
        <v>0</v>
      </c>
      <c r="K17" s="33" t="n">
        <f aca="false">E17-SUM(F17:J17)</f>
        <v>-1540472.73048169</v>
      </c>
      <c r="L17" s="33" t="n">
        <f aca="false">SUMIFS(Funding!$H$6:$H$8,Funding!$C$6:$C$8,"&gt;="&amp;C17,Funding!$C$6:$C$8,"&lt;"&amp;EDATE(C17,1))</f>
        <v>0</v>
      </c>
      <c r="M17" s="33" t="n">
        <f aca="false">P16</f>
        <v>4986166.21631947</v>
      </c>
      <c r="N17" s="33" t="n">
        <f aca="false">SUM(K17:M17)</f>
        <v>3445693.48583778</v>
      </c>
      <c r="O17" s="33" t="n">
        <f aca="false">IF(D17=1,0,IF(MOD(ROW()-5,12)=0,MAX(0,MIN(WOO!D15*Terms!$D$21,N17-Sources!$D$16-R17)),0))</f>
        <v>0</v>
      </c>
      <c r="P17" s="33" t="n">
        <f aca="false">N17-O17</f>
        <v>3445693.48583778</v>
      </c>
      <c r="Q17" s="33" t="n">
        <f aca="false">MAX(0,-P17)</f>
        <v>0</v>
      </c>
      <c r="R17" s="33" t="n">
        <f aca="false">MAX(0,'W Cash Flow'!S44)</f>
        <v>187209.105263158</v>
      </c>
      <c r="S17" s="33" t="n">
        <f aca="false">IF(C17&gt;=DATE(YEAR(Funding!$C$6),MONTH(Funding!$C$6),1),P17,1E+099)</f>
        <v>3445693.48583778</v>
      </c>
    </row>
    <row r="18" customFormat="false" ht="28.5" hidden="false" customHeight="true" outlineLevel="0" collapsed="false">
      <c r="C18" s="44" t="n">
        <f aca="false">'W Cash Flow'!T6</f>
        <v>46631</v>
      </c>
      <c r="D18" s="32" t="n">
        <v>2</v>
      </c>
      <c r="E18" s="32" t="n">
        <f aca="false">'W Cash Flow'!T41</f>
        <v>532357.489342487</v>
      </c>
      <c r="F18" s="32" t="n">
        <f aca="false">MAX(0,Sources!E9+Sources!E12)*Terms!$D$22/12</f>
        <v>165073.677064247</v>
      </c>
      <c r="G18" s="32" t="n">
        <f aca="false">IF(MOD(ROW()-5,12)=0,WOO!E10,0)</f>
        <v>0</v>
      </c>
      <c r="H18" s="32" t="n">
        <f aca="false">IF(MOD(ROW()-5,12)=0,Terms!D28,0)</f>
        <v>0</v>
      </c>
      <c r="I18" s="32" t="n">
        <f aca="false">WOO!E14/12</f>
        <v>55097.3632895073</v>
      </c>
      <c r="J18" s="32" t="n">
        <f aca="false">'W Cash Flow'!T46</f>
        <v>12240</v>
      </c>
      <c r="K18" s="32" t="n">
        <f aca="false">E18-SUM(F18:J18)</f>
        <v>299946.448988732</v>
      </c>
      <c r="L18" s="32" t="n">
        <f aca="false">SUMIFS(Funding!$H$6:$H$8,Funding!$C$6:$C$8,"&gt;="&amp;C18,Funding!$C$6:$C$8,"&lt;"&amp;EDATE(C18,1))</f>
        <v>0</v>
      </c>
      <c r="M18" s="32" t="n">
        <f aca="false">P17</f>
        <v>3445693.48583778</v>
      </c>
      <c r="N18" s="32" t="n">
        <f aca="false">SUM(K18:M18)</f>
        <v>3745639.93482651</v>
      </c>
      <c r="O18" s="32" t="n">
        <f aca="false">IF(D18=1,0,IF(MOD(ROW()-5,12)=0,MAX(0,MIN(WOO!E15*Terms!$D$21,N18-Sources!$D$16-R18)),0))</f>
        <v>0</v>
      </c>
      <c r="P18" s="32" t="n">
        <f aca="false">N18-O18</f>
        <v>3745639.93482651</v>
      </c>
      <c r="Q18" s="32" t="n">
        <f aca="false">MAX(0,-P18)</f>
        <v>0</v>
      </c>
      <c r="R18" s="32" t="n">
        <f aca="false">MAX(0,'W Cash Flow'!T44)</f>
        <v>250736.052631579</v>
      </c>
      <c r="S18" s="32" t="n">
        <f aca="false">IF(C18&gt;=DATE(YEAR(Funding!$C$6),MONTH(Funding!$C$6),1),P18,1E+099)</f>
        <v>3745639.93482651</v>
      </c>
    </row>
    <row r="19" customFormat="false" ht="28.5" hidden="false" customHeight="true" outlineLevel="0" collapsed="false">
      <c r="C19" s="45" t="n">
        <f aca="false">'W Cash Flow'!U6</f>
        <v>46661</v>
      </c>
      <c r="D19" s="33" t="n">
        <v>2</v>
      </c>
      <c r="E19" s="33" t="n">
        <f aca="false">'W Cash Flow'!U41</f>
        <v>777060.668351183</v>
      </c>
      <c r="F19" s="33" t="n">
        <f aca="false">MAX(0,Sources!E9+Sources!E12)*Terms!$D$22/12</f>
        <v>165073.677064247</v>
      </c>
      <c r="G19" s="33" t="n">
        <f aca="false">IF(MOD(ROW()-5,12)=0,WOO!E10,0)</f>
        <v>0</v>
      </c>
      <c r="H19" s="33" t="n">
        <f aca="false">IF(MOD(ROW()-5,12)=0,Terms!D28,0)</f>
        <v>0</v>
      </c>
      <c r="I19" s="33" t="n">
        <f aca="false">WOO!E14/12</f>
        <v>55097.3632895073</v>
      </c>
      <c r="J19" s="33" t="n">
        <f aca="false">'W Cash Flow'!U46</f>
        <v>0</v>
      </c>
      <c r="K19" s="33" t="n">
        <f aca="false">E19-SUM(F19:J19)</f>
        <v>556889.627997428</v>
      </c>
      <c r="L19" s="33" t="n">
        <f aca="false">SUMIFS(Funding!$H$6:$H$8,Funding!$C$6:$C$8,"&gt;="&amp;C19,Funding!$C$6:$C$8,"&lt;"&amp;EDATE(C19,1))</f>
        <v>0</v>
      </c>
      <c r="M19" s="33" t="n">
        <f aca="false">P18</f>
        <v>3745639.93482651</v>
      </c>
      <c r="N19" s="33" t="n">
        <f aca="false">SUM(K19:M19)</f>
        <v>4302529.56282394</v>
      </c>
      <c r="O19" s="33" t="n">
        <f aca="false">IF(D19=1,0,IF(MOD(ROW()-5,12)=0,MAX(0,MIN(WOO!E15*Terms!$D$21,N19-Sources!$D$16-R19)),0))</f>
        <v>0</v>
      </c>
      <c r="P19" s="33" t="n">
        <f aca="false">N19-O19</f>
        <v>4302529.56282394</v>
      </c>
      <c r="Q19" s="33" t="n">
        <f aca="false">MAX(0,-P19)</f>
        <v>0</v>
      </c>
      <c r="R19" s="33" t="n">
        <f aca="false">MAX(0,'W Cash Flow'!U44)</f>
        <v>301775</v>
      </c>
      <c r="S19" s="33" t="n">
        <f aca="false">IF(C19&gt;=DATE(YEAR(Funding!$C$6),MONTH(Funding!$C$6),1),P19,1E+099)</f>
        <v>4302529.56282394</v>
      </c>
    </row>
    <row r="20" customFormat="false" ht="28.5" hidden="false" customHeight="true" outlineLevel="0" collapsed="false">
      <c r="C20" s="44" t="n">
        <f aca="false">'W Cash Flow'!V6</f>
        <v>46692</v>
      </c>
      <c r="D20" s="32" t="n">
        <v>2</v>
      </c>
      <c r="E20" s="32" t="n">
        <f aca="false">'W Cash Flow'!V41</f>
        <v>747615.177695958</v>
      </c>
      <c r="F20" s="32" t="n">
        <f aca="false">MAX(0,Sources!E9+Sources!E12)*Terms!$D$22/12</f>
        <v>165073.677064247</v>
      </c>
      <c r="G20" s="32" t="n">
        <f aca="false">IF(MOD(ROW()-5,12)=0,WOO!E10,0)</f>
        <v>0</v>
      </c>
      <c r="H20" s="32" t="n">
        <f aca="false">IF(MOD(ROW()-5,12)=0,Terms!D28,0)</f>
        <v>0</v>
      </c>
      <c r="I20" s="32" t="n">
        <f aca="false">WOO!E14/12</f>
        <v>55097.3632895073</v>
      </c>
      <c r="J20" s="32" t="n">
        <f aca="false">'W Cash Flow'!V46</f>
        <v>0</v>
      </c>
      <c r="K20" s="32" t="n">
        <f aca="false">E20-SUM(F20:J20)</f>
        <v>527444.137342203</v>
      </c>
      <c r="L20" s="32" t="n">
        <f aca="false">SUMIFS(Funding!$H$6:$H$8,Funding!$C$6:$C$8,"&gt;="&amp;C20,Funding!$C$6:$C$8,"&lt;"&amp;EDATE(C20,1))</f>
        <v>0</v>
      </c>
      <c r="M20" s="32" t="n">
        <f aca="false">P19</f>
        <v>4302529.56282394</v>
      </c>
      <c r="N20" s="32" t="n">
        <f aca="false">SUM(K20:M20)</f>
        <v>4829973.70016614</v>
      </c>
      <c r="O20" s="32" t="n">
        <f aca="false">IF(D20=1,0,IF(MOD(ROW()-5,12)=0,MAX(0,MIN(WOO!E15*Terms!$D$21,N20-Sources!$D$16-R20)),0))</f>
        <v>0</v>
      </c>
      <c r="P20" s="32" t="n">
        <f aca="false">N20-O20</f>
        <v>4829973.70016614</v>
      </c>
      <c r="Q20" s="32" t="n">
        <f aca="false">MAX(0,-P20)</f>
        <v>0</v>
      </c>
      <c r="R20" s="32" t="n">
        <f aca="false">MAX(0,'W Cash Flow'!V44)</f>
        <v>290375.833333333</v>
      </c>
      <c r="S20" s="32" t="n">
        <f aca="false">IF(C20&gt;=DATE(YEAR(Funding!$C$6),MONTH(Funding!$C$6),1),P20,1E+099)</f>
        <v>4829973.70016614</v>
      </c>
    </row>
    <row r="21" customFormat="false" ht="28.5" hidden="false" customHeight="true" outlineLevel="0" collapsed="false">
      <c r="C21" s="45" t="n">
        <f aca="false">'W Cash Flow'!W6</f>
        <v>46722</v>
      </c>
      <c r="D21" s="33" t="n">
        <v>2</v>
      </c>
      <c r="E21" s="33" t="n">
        <f aca="false">'W Cash Flow'!W41</f>
        <v>1233810.1961971</v>
      </c>
      <c r="F21" s="33" t="n">
        <f aca="false">MAX(0,Sources!E9+Sources!E12)*Terms!$D$22/12</f>
        <v>165073.677064247</v>
      </c>
      <c r="G21" s="33" t="n">
        <f aca="false">IF(MOD(ROW()-5,12)=0,WOO!E10,0)</f>
        <v>0</v>
      </c>
      <c r="H21" s="33" t="n">
        <f aca="false">IF(MOD(ROW()-5,12)=0,Terms!D28,0)</f>
        <v>0</v>
      </c>
      <c r="I21" s="33" t="n">
        <f aca="false">WOO!E14/12</f>
        <v>55097.3632895073</v>
      </c>
      <c r="J21" s="33" t="n">
        <f aca="false">'W Cash Flow'!W46</f>
        <v>0</v>
      </c>
      <c r="K21" s="33" t="n">
        <f aca="false">E21-SUM(F21:J21)</f>
        <v>1013639.15584335</v>
      </c>
      <c r="L21" s="33" t="n">
        <f aca="false">SUMIFS(Funding!$H$6:$H$8,Funding!$C$6:$C$8,"&gt;="&amp;C21,Funding!$C$6:$C$8,"&lt;"&amp;EDATE(C21,1))</f>
        <v>0</v>
      </c>
      <c r="M21" s="33" t="n">
        <f aca="false">P20</f>
        <v>4829973.70016614</v>
      </c>
      <c r="N21" s="33" t="n">
        <f aca="false">SUM(K21:M21)</f>
        <v>5843612.85600949</v>
      </c>
      <c r="O21" s="33" t="n">
        <f aca="false">IF(D21=1,0,IF(MOD(ROW()-5,12)=0,MAX(0,MIN(WOO!E15*Terms!$D$21,N21-Sources!$D$16-R21)),0))</f>
        <v>0</v>
      </c>
      <c r="P21" s="33" t="n">
        <f aca="false">N21-O21</f>
        <v>5843612.85600949</v>
      </c>
      <c r="Q21" s="33" t="n">
        <f aca="false">MAX(0,-P21)</f>
        <v>0</v>
      </c>
      <c r="R21" s="33" t="n">
        <f aca="false">MAX(0,'W Cash Flow'!W44)</f>
        <v>416369.166666667</v>
      </c>
      <c r="S21" s="33" t="n">
        <f aca="false">IF(C21&gt;=DATE(YEAR(Funding!$C$6),MONTH(Funding!$C$6),1),P21,1E+099)</f>
        <v>5843612.85600949</v>
      </c>
    </row>
    <row r="22" customFormat="false" ht="28.5" hidden="false" customHeight="true" outlineLevel="0" collapsed="false">
      <c r="C22" s="44" t="n">
        <f aca="false">'W Cash Flow'!X6</f>
        <v>46753</v>
      </c>
      <c r="D22" s="32" t="n">
        <v>2</v>
      </c>
      <c r="E22" s="32" t="n">
        <f aca="false">'W Cash Flow'!X41</f>
        <v>955182.93904058</v>
      </c>
      <c r="F22" s="32" t="n">
        <f aca="false">MAX(0,Sources!E9+Sources!E12)*Terms!$D$22/12</f>
        <v>165073.677064247</v>
      </c>
      <c r="G22" s="32" t="n">
        <f aca="false">IF(MOD(ROW()-5,12)=0,WOO!E10,0)</f>
        <v>0</v>
      </c>
      <c r="H22" s="32" t="n">
        <f aca="false">IF(MOD(ROW()-5,12)=0,Terms!D28,0)</f>
        <v>0</v>
      </c>
      <c r="I22" s="32" t="n">
        <f aca="false">WOO!E14/12</f>
        <v>55097.3632895073</v>
      </c>
      <c r="J22" s="32" t="n">
        <f aca="false">'W Cash Flow'!X46</f>
        <v>0</v>
      </c>
      <c r="K22" s="32" t="n">
        <f aca="false">E22-SUM(F22:J22)</f>
        <v>735011.898686825</v>
      </c>
      <c r="L22" s="32" t="n">
        <f aca="false">SUMIFS(Funding!$H$6:$H$8,Funding!$C$6:$C$8,"&gt;="&amp;C22,Funding!$C$6:$C$8,"&lt;"&amp;EDATE(C22,1))</f>
        <v>0</v>
      </c>
      <c r="M22" s="32" t="n">
        <f aca="false">P21</f>
        <v>5843612.85600949</v>
      </c>
      <c r="N22" s="32" t="n">
        <f aca="false">SUM(K22:M22)</f>
        <v>6578624.75469632</v>
      </c>
      <c r="O22" s="32" t="n">
        <f aca="false">IF(D22=1,0,IF(MOD(ROW()-5,12)=0,MAX(0,MIN(WOO!E15*Terms!$D$21,N22-Sources!$D$16-R22)),0))</f>
        <v>0</v>
      </c>
      <c r="P22" s="32" t="n">
        <f aca="false">N22-O22</f>
        <v>6578624.75469632</v>
      </c>
      <c r="Q22" s="32" t="n">
        <f aca="false">MAX(0,-P22)</f>
        <v>0</v>
      </c>
      <c r="R22" s="32" t="n">
        <f aca="false">MAX(0,'W Cash Flow'!X44)</f>
        <v>542362.5</v>
      </c>
      <c r="S22" s="32" t="n">
        <f aca="false">IF(C22&gt;=DATE(YEAR(Funding!$C$6),MONTH(Funding!$C$6),1),P22,1E+099)</f>
        <v>6578624.75469632</v>
      </c>
    </row>
    <row r="23" customFormat="false" ht="28.5" hidden="false" customHeight="true" outlineLevel="0" collapsed="false">
      <c r="C23" s="45" t="n">
        <f aca="false">'W Cash Flow'!Y6</f>
        <v>46784</v>
      </c>
      <c r="D23" s="33" t="n">
        <v>2</v>
      </c>
      <c r="E23" s="33" t="n">
        <f aca="false">'W Cash Flow'!Y41</f>
        <v>631480.222573188</v>
      </c>
      <c r="F23" s="33" t="n">
        <f aca="false">MAX(0,Sources!E9+Sources!E12)*Terms!$D$22/12</f>
        <v>165073.677064247</v>
      </c>
      <c r="G23" s="33" t="n">
        <f aca="false">IF(MOD(ROW()-5,12)=0,WOO!E10,0)</f>
        <v>0</v>
      </c>
      <c r="H23" s="33" t="n">
        <f aca="false">IF(MOD(ROW()-5,12)=0,Terms!D28,0)</f>
        <v>0</v>
      </c>
      <c r="I23" s="33" t="n">
        <f aca="false">WOO!E14/12</f>
        <v>55097.3632895073</v>
      </c>
      <c r="J23" s="33" t="n">
        <f aca="false">'W Cash Flow'!Y46</f>
        <v>0</v>
      </c>
      <c r="K23" s="33" t="n">
        <f aca="false">E23-SUM(F23:J23)</f>
        <v>411309.182219434</v>
      </c>
      <c r="L23" s="33" t="n">
        <f aca="false">SUMIFS(Funding!$H$6:$H$8,Funding!$C$6:$C$8,"&gt;="&amp;C23,Funding!$C$6:$C$8,"&lt;"&amp;EDATE(C23,1))</f>
        <v>0</v>
      </c>
      <c r="M23" s="33" t="n">
        <f aca="false">P22</f>
        <v>6578624.75469632</v>
      </c>
      <c r="N23" s="33" t="n">
        <f aca="false">SUM(K23:M23)</f>
        <v>6989933.93691575</v>
      </c>
      <c r="O23" s="33" t="n">
        <f aca="false">IF(D23=1,0,IF(MOD(ROW()-5,12)=0,MAX(0,MIN(WOO!E15*Terms!$D$21,N23-Sources!$D$16-R23)),0))</f>
        <v>0</v>
      </c>
      <c r="P23" s="33" t="n">
        <f aca="false">N23-O23</f>
        <v>6989933.93691575</v>
      </c>
      <c r="Q23" s="33" t="n">
        <f aca="false">MAX(0,-P23)</f>
        <v>0</v>
      </c>
      <c r="R23" s="33" t="n">
        <f aca="false">MAX(0,'W Cash Flow'!Y44)</f>
        <v>668355.833333333</v>
      </c>
      <c r="S23" s="33" t="n">
        <f aca="false">IF(C23&gt;=DATE(YEAR(Funding!$C$6),MONTH(Funding!$C$6),1),P23,1E+099)</f>
        <v>6989933.93691575</v>
      </c>
    </row>
    <row r="24" customFormat="false" ht="28.5" hidden="false" customHeight="true" outlineLevel="0" collapsed="false">
      <c r="C24" s="44" t="n">
        <f aca="false">'W Cash Flow'!Z6</f>
        <v>46813</v>
      </c>
      <c r="D24" s="32" t="n">
        <v>2</v>
      </c>
      <c r="E24" s="32" t="n">
        <f aca="false">'W Cash Flow'!Z41</f>
        <v>993019.050944927</v>
      </c>
      <c r="F24" s="32" t="n">
        <f aca="false">MAX(0,Sources!E9+Sources!E12)*Terms!$D$22/12</f>
        <v>165073.677064247</v>
      </c>
      <c r="G24" s="32" t="n">
        <f aca="false">IF(MOD(ROW()-5,12)=0,WOO!E10,0)</f>
        <v>0</v>
      </c>
      <c r="H24" s="32" t="n">
        <f aca="false">IF(MOD(ROW()-5,12)=0,Terms!D28,0)</f>
        <v>0</v>
      </c>
      <c r="I24" s="32" t="n">
        <f aca="false">WOO!E14/12</f>
        <v>55097.3632895073</v>
      </c>
      <c r="J24" s="32" t="n">
        <f aca="false">'W Cash Flow'!Z46</f>
        <v>0</v>
      </c>
      <c r="K24" s="32" t="n">
        <f aca="false">E24-SUM(F24:J24)</f>
        <v>772848.010591173</v>
      </c>
      <c r="L24" s="32" t="n">
        <f aca="false">SUMIFS(Funding!$H$6:$H$8,Funding!$C$6:$C$8,"&gt;="&amp;C24,Funding!$C$6:$C$8,"&lt;"&amp;EDATE(C24,1))</f>
        <v>0</v>
      </c>
      <c r="M24" s="32" t="n">
        <f aca="false">P23</f>
        <v>6989933.93691575</v>
      </c>
      <c r="N24" s="32" t="n">
        <f aca="false">SUM(K24:M24)</f>
        <v>7762781.94750692</v>
      </c>
      <c r="O24" s="32" t="n">
        <f aca="false">IF(D24=1,0,IF(MOD(ROW()-5,12)=0,MAX(0,MIN(WOO!E15*Terms!$D$21,N24-Sources!$D$16-R24)),0))</f>
        <v>0</v>
      </c>
      <c r="P24" s="32" t="n">
        <f aca="false">N24-O24</f>
        <v>7762781.94750692</v>
      </c>
      <c r="Q24" s="32" t="n">
        <f aca="false">MAX(0,-P24)</f>
        <v>0</v>
      </c>
      <c r="R24" s="32" t="n">
        <f aca="false">MAX(0,'W Cash Flow'!Z44)</f>
        <v>794349.166666667</v>
      </c>
      <c r="S24" s="32" t="n">
        <f aca="false">IF(C24&gt;=DATE(YEAR(Funding!$C$6),MONTH(Funding!$C$6),1),P24,1E+099)</f>
        <v>7762781.94750692</v>
      </c>
    </row>
    <row r="25" customFormat="false" ht="28.5" hidden="false" customHeight="true" outlineLevel="0" collapsed="false">
      <c r="C25" s="45" t="n">
        <f aca="false">'W Cash Flow'!AA6</f>
        <v>46844</v>
      </c>
      <c r="D25" s="33" t="n">
        <v>2</v>
      </c>
      <c r="E25" s="33" t="n">
        <f aca="false">'W Cash Flow'!AA41</f>
        <v>958104.399571015</v>
      </c>
      <c r="F25" s="33" t="n">
        <f aca="false">MAX(0,Sources!E9+Sources!E12)*Terms!$D$22/12</f>
        <v>165073.677064247</v>
      </c>
      <c r="G25" s="33" t="n">
        <f aca="false">IF(MOD(ROW()-5,12)=0,WOO!E10,0)</f>
        <v>0</v>
      </c>
      <c r="H25" s="33" t="n">
        <f aca="false">IF(MOD(ROW()-5,12)=0,Terms!D28,0)</f>
        <v>0</v>
      </c>
      <c r="I25" s="33" t="n">
        <f aca="false">WOO!E14/12</f>
        <v>55097.3632895073</v>
      </c>
      <c r="J25" s="33" t="n">
        <f aca="false">'W Cash Flow'!AA46</f>
        <v>0</v>
      </c>
      <c r="K25" s="33" t="n">
        <f aca="false">E25-SUM(F25:J25)</f>
        <v>737933.35921726</v>
      </c>
      <c r="L25" s="33" t="n">
        <f aca="false">SUMIFS(Funding!$H$6:$H$8,Funding!$C$6:$C$8,"&gt;="&amp;C25,Funding!$C$6:$C$8,"&lt;"&amp;EDATE(C25,1))</f>
        <v>0</v>
      </c>
      <c r="M25" s="33" t="n">
        <f aca="false">P24</f>
        <v>7762781.94750692</v>
      </c>
      <c r="N25" s="33" t="n">
        <f aca="false">SUM(K25:M25)</f>
        <v>8500715.30672418</v>
      </c>
      <c r="O25" s="33" t="n">
        <f aca="false">IF(D25=1,0,IF(MOD(ROW()-5,12)=0,MAX(0,MIN(WOO!E15*Terms!$D$21,N25-Sources!$D$16-R25)),0))</f>
        <v>0</v>
      </c>
      <c r="P25" s="33" t="n">
        <f aca="false">N25-O25</f>
        <v>8500715.30672418</v>
      </c>
      <c r="Q25" s="33" t="n">
        <f aca="false">MAX(0,-P25)</f>
        <v>0</v>
      </c>
      <c r="R25" s="33" t="n">
        <f aca="false">MAX(0,'W Cash Flow'!AA44)</f>
        <v>920342.5</v>
      </c>
      <c r="S25" s="33" t="n">
        <f aca="false">IF(C25&gt;=DATE(YEAR(Funding!$C$6),MONTH(Funding!$C$6),1),P25,1E+099)</f>
        <v>8500715.30672418</v>
      </c>
    </row>
    <row r="26" customFormat="false" ht="28.5" hidden="false" customHeight="true" outlineLevel="0" collapsed="false">
      <c r="C26" s="44" t="n">
        <f aca="false">'W Cash Flow'!AB6</f>
        <v>46874</v>
      </c>
      <c r="D26" s="32" t="n">
        <v>2</v>
      </c>
      <c r="E26" s="32" t="n">
        <f aca="false">'W Cash Flow'!AB41</f>
        <v>614333.883284058</v>
      </c>
      <c r="F26" s="32" t="n">
        <f aca="false">MAX(0,Sources!E9+Sources!E12)*Terms!$D$22/12</f>
        <v>165073.677064247</v>
      </c>
      <c r="G26" s="32" t="n">
        <f aca="false">IF(MOD(ROW()-5,12)=0,WOO!E10,0)</f>
        <v>0</v>
      </c>
      <c r="H26" s="32" t="n">
        <f aca="false">IF(MOD(ROW()-5,12)=0,Terms!D28,0)</f>
        <v>0</v>
      </c>
      <c r="I26" s="32" t="n">
        <f aca="false">WOO!E14/12</f>
        <v>55097.3632895073</v>
      </c>
      <c r="J26" s="32" t="n">
        <f aca="false">'W Cash Flow'!AB46</f>
        <v>0</v>
      </c>
      <c r="K26" s="32" t="n">
        <f aca="false">E26-SUM(F26:J26)</f>
        <v>394162.842930303</v>
      </c>
      <c r="L26" s="32" t="n">
        <f aca="false">SUMIFS(Funding!$H$6:$H$8,Funding!$C$6:$C$8,"&gt;="&amp;C26,Funding!$C$6:$C$8,"&lt;"&amp;EDATE(C26,1))</f>
        <v>0</v>
      </c>
      <c r="M26" s="32" t="n">
        <f aca="false">P25</f>
        <v>8500715.30672418</v>
      </c>
      <c r="N26" s="32" t="n">
        <f aca="false">SUM(K26:M26)</f>
        <v>8894878.14965449</v>
      </c>
      <c r="O26" s="32" t="n">
        <f aca="false">IF(D26=1,0,IF(MOD(ROW()-5,12)=0,MAX(0,MIN(WOO!E15*Terms!$D$21,N26-Sources!$D$16-R26)),0))</f>
        <v>0</v>
      </c>
      <c r="P26" s="32" t="n">
        <f aca="false">N26-O26</f>
        <v>8894878.14965449</v>
      </c>
      <c r="Q26" s="32" t="n">
        <f aca="false">MAX(0,-P26)</f>
        <v>0</v>
      </c>
      <c r="R26" s="32" t="n">
        <f aca="false">MAX(0,'W Cash Flow'!AB44)</f>
        <v>1046335.83333333</v>
      </c>
      <c r="S26" s="32" t="n">
        <f aca="false">IF(C26&gt;=DATE(YEAR(Funding!$C$6),MONTH(Funding!$C$6),1),P26,1E+099)</f>
        <v>8894878.14965449</v>
      </c>
    </row>
    <row r="27" customFormat="false" ht="28.5" hidden="false" customHeight="true" outlineLevel="0" collapsed="false">
      <c r="C27" s="45" t="n">
        <f aca="false">'W Cash Flow'!AC6</f>
        <v>46905</v>
      </c>
      <c r="D27" s="33" t="n">
        <v>2</v>
      </c>
      <c r="E27" s="33" t="n">
        <f aca="false">'W Cash Flow'!AC41</f>
        <v>758525.765066667</v>
      </c>
      <c r="F27" s="33" t="n">
        <f aca="false">MAX(0,Sources!E9+Sources!E12)*Terms!$D$22/12</f>
        <v>165073.677064247</v>
      </c>
      <c r="G27" s="33" t="n">
        <f aca="false">IF(MOD(ROW()-5,12)=0,WOO!E10,0)</f>
        <v>0</v>
      </c>
      <c r="H27" s="33" t="n">
        <f aca="false">IF(MOD(ROW()-5,12)=0,Terms!D28,0)</f>
        <v>0</v>
      </c>
      <c r="I27" s="33" t="n">
        <f aca="false">WOO!E14/12</f>
        <v>55097.3632895073</v>
      </c>
      <c r="J27" s="33" t="n">
        <f aca="false">'W Cash Flow'!AC46</f>
        <v>0</v>
      </c>
      <c r="K27" s="33" t="n">
        <f aca="false">E27-SUM(F27:J27)</f>
        <v>538354.724712912</v>
      </c>
      <c r="L27" s="33" t="n">
        <f aca="false">SUMIFS(Funding!$H$6:$H$8,Funding!$C$6:$C$8,"&gt;="&amp;C27,Funding!$C$6:$C$8,"&lt;"&amp;EDATE(C27,1))</f>
        <v>0</v>
      </c>
      <c r="M27" s="33" t="n">
        <f aca="false">P26</f>
        <v>8894878.14965449</v>
      </c>
      <c r="N27" s="33" t="n">
        <f aca="false">SUM(K27:M27)</f>
        <v>9433232.8743674</v>
      </c>
      <c r="O27" s="33" t="n">
        <f aca="false">IF(D27=1,0,IF(MOD(ROW()-5,12)=0,MAX(0,MIN(WOO!E15*Terms!$D$21,N27-Sources!$D$16-R27)),0))</f>
        <v>0</v>
      </c>
      <c r="P27" s="33" t="n">
        <f aca="false">N27-O27</f>
        <v>9433232.8743674</v>
      </c>
      <c r="Q27" s="33" t="n">
        <f aca="false">MAX(0,-P27)</f>
        <v>0</v>
      </c>
      <c r="R27" s="33" t="n">
        <f aca="false">MAX(0,'W Cash Flow'!AC44)</f>
        <v>1172329.16666667</v>
      </c>
      <c r="S27" s="33" t="n">
        <f aca="false">IF(C27&gt;=DATE(YEAR(Funding!$C$6),MONTH(Funding!$C$6),1),P27,1E+099)</f>
        <v>9433232.8743674</v>
      </c>
    </row>
    <row r="28" customFormat="false" ht="28.5" hidden="false" customHeight="true" outlineLevel="0" collapsed="false">
      <c r="C28" s="44" t="n">
        <f aca="false">'W Cash Flow'!AD6</f>
        <v>46935</v>
      </c>
      <c r="D28" s="32" t="n">
        <v>2</v>
      </c>
      <c r="E28" s="32" t="n">
        <f aca="false">'W Cash Flow'!AD41</f>
        <v>865147.475188406</v>
      </c>
      <c r="F28" s="32" t="n">
        <f aca="false">MAX(0,Sources!E9+Sources!E12)*Terms!$D$22/12</f>
        <v>165073.677064247</v>
      </c>
      <c r="G28" s="32" t="n">
        <f aca="false">IF(MOD(ROW()-5,12)=0,WOO!E10,0)</f>
        <v>0</v>
      </c>
      <c r="H28" s="32" t="n">
        <f aca="false">IF(MOD(ROW()-5,12)=0,Terms!D28,0)</f>
        <v>0</v>
      </c>
      <c r="I28" s="32" t="n">
        <f aca="false">WOO!E14/12</f>
        <v>55097.3632895073</v>
      </c>
      <c r="J28" s="32" t="n">
        <f aca="false">'W Cash Flow'!AD46</f>
        <v>0</v>
      </c>
      <c r="K28" s="32" t="n">
        <f aca="false">E28-SUM(F28:J28)</f>
        <v>644976.434834651</v>
      </c>
      <c r="L28" s="32" t="n">
        <f aca="false">SUMIFS(Funding!$H$6:$H$8,Funding!$C$6:$C$8,"&gt;="&amp;C28,Funding!$C$6:$C$8,"&lt;"&amp;EDATE(C28,1))</f>
        <v>0</v>
      </c>
      <c r="M28" s="32" t="n">
        <f aca="false">P27</f>
        <v>9433232.8743674</v>
      </c>
      <c r="N28" s="32" t="n">
        <f aca="false">SUM(K28:M28)</f>
        <v>10078209.309202</v>
      </c>
      <c r="O28" s="32" t="n">
        <f aca="false">IF(D28=1,0,IF(MOD(ROW()-5,12)=0,MAX(0,MIN(WOO!E15*Terms!$D$21,N28-Sources!$D$16-R28)),0))</f>
        <v>0</v>
      </c>
      <c r="P28" s="32" t="n">
        <f aca="false">N28-O28</f>
        <v>10078209.309202</v>
      </c>
      <c r="Q28" s="32" t="n">
        <f aca="false">MAX(0,-P28)</f>
        <v>0</v>
      </c>
      <c r="R28" s="32" t="n">
        <f aca="false">MAX(0,'W Cash Flow'!AD44)</f>
        <v>1298322.5</v>
      </c>
      <c r="S28" s="32" t="n">
        <f aca="false">IF(C28&gt;=DATE(YEAR(Funding!$C$6),MONTH(Funding!$C$6),1),P28,1E+099)</f>
        <v>10078209.309202</v>
      </c>
    </row>
    <row r="29" customFormat="false" ht="28.5" hidden="false" customHeight="true" outlineLevel="0" collapsed="false">
      <c r="C29" s="45" t="n">
        <f aca="false">'W Cash Flow'!AE6</f>
        <v>46966</v>
      </c>
      <c r="D29" s="33" t="n">
        <v>2</v>
      </c>
      <c r="E29" s="33" t="n">
        <f aca="false">'W Cash Flow'!AE41</f>
        <v>756183.356599276</v>
      </c>
      <c r="F29" s="33" t="n">
        <f aca="false">MAX(0,Sources!E9+Sources!E12)*Terms!$D$22/12</f>
        <v>165073.677064247</v>
      </c>
      <c r="G29" s="33" t="n">
        <f aca="false">IF(MOD(ROW()-5,12)=0,WOO!E10,0)</f>
        <v>533267.305008696</v>
      </c>
      <c r="H29" s="33" t="n">
        <f aca="false">IF(MOD(ROW()-5,12)=0,Terms!D28,0)</f>
        <v>0</v>
      </c>
      <c r="I29" s="33" t="n">
        <f aca="false">WOO!E14/12</f>
        <v>55097.3632895073</v>
      </c>
      <c r="J29" s="33" t="n">
        <f aca="false">'W Cash Flow'!AE46</f>
        <v>0</v>
      </c>
      <c r="K29" s="33" t="n">
        <f aca="false">E29-SUM(F29:J29)</f>
        <v>2745.01123682514</v>
      </c>
      <c r="L29" s="33" t="n">
        <f aca="false">SUMIFS(Funding!$H$6:$H$8,Funding!$C$6:$C$8,"&gt;="&amp;C29,Funding!$C$6:$C$8,"&lt;"&amp;EDATE(C29,1))</f>
        <v>0</v>
      </c>
      <c r="M29" s="33" t="n">
        <f aca="false">P28</f>
        <v>10078209.309202</v>
      </c>
      <c r="N29" s="33" t="n">
        <f aca="false">SUM(K29:M29)</f>
        <v>10080954.3204389</v>
      </c>
      <c r="O29" s="33" t="n">
        <f aca="false">IF(D29=1,0,IF(MOD(ROW()-5,12)=0,MAX(0,MIN(WOO!E15*Terms!$D$21,N29-Sources!$D$16-R29)),0))</f>
        <v>2975257.61763339</v>
      </c>
      <c r="P29" s="33" t="n">
        <f aca="false">N29-O29</f>
        <v>7105696.70280548</v>
      </c>
      <c r="Q29" s="33" t="n">
        <f aca="false">MAX(0,-P29)</f>
        <v>0</v>
      </c>
      <c r="R29" s="33" t="n">
        <f aca="false">MAX(0,'W Cash Flow'!AE44)</f>
        <v>1424315.83333333</v>
      </c>
      <c r="S29" s="33" t="n">
        <f aca="false">IF(C29&gt;=DATE(YEAR(Funding!$C$6),MONTH(Funding!$C$6),1),P29,1E+099)</f>
        <v>7105696.70280548</v>
      </c>
    </row>
    <row r="30" customFormat="false" ht="28.5" hidden="false" customHeight="true" outlineLevel="0" collapsed="false">
      <c r="C30" s="44" t="n">
        <f aca="false">'W Cash Flow'!AF6</f>
        <v>46997</v>
      </c>
      <c r="D30" s="32" t="n">
        <v>3</v>
      </c>
      <c r="E30" s="32" t="n">
        <f aca="false">'W Cash Flow'!AF41</f>
        <v>867172.729222099</v>
      </c>
      <c r="F30" s="32" t="n">
        <f aca="false">MAX(0,Sources!F9+Sources!F12)*Terms!$D$22/12</f>
        <v>251262.479591453</v>
      </c>
      <c r="G30" s="32" t="n">
        <f aca="false">IF(MOD(ROW()-5,12)=0,WOO!F10,0)</f>
        <v>0</v>
      </c>
      <c r="H30" s="32" t="n">
        <f aca="false">IF(MOD(ROW()-5,12)=0,Terms!D29,0)</f>
        <v>0</v>
      </c>
      <c r="I30" s="32" t="n">
        <f aca="false">WOO!F14/12</f>
        <v>85943.8510201545</v>
      </c>
      <c r="J30" s="32" t="n">
        <f aca="false">'W Cash Flow'!AF46</f>
        <v>18360</v>
      </c>
      <c r="K30" s="32" t="n">
        <f aca="false">E30-SUM(F30:J30)</f>
        <v>511606.398610491</v>
      </c>
      <c r="L30" s="32" t="n">
        <f aca="false">SUMIFS(Funding!$H$6:$H$8,Funding!$C$6:$C$8,"&gt;="&amp;C30,Funding!$C$6:$C$8,"&lt;"&amp;EDATE(C30,1))</f>
        <v>0</v>
      </c>
      <c r="M30" s="32" t="n">
        <f aca="false">P29</f>
        <v>7105696.70280548</v>
      </c>
      <c r="N30" s="32" t="n">
        <f aca="false">SUM(K30:M30)</f>
        <v>7617303.10141597</v>
      </c>
      <c r="O30" s="32" t="n">
        <f aca="false">IF(D30=1,0,IF(MOD(ROW()-5,12)=0,MAX(0,MIN(WOO!F15*Terms!$D$21,N30-Sources!$D$16-R30)),0))</f>
        <v>0</v>
      </c>
      <c r="P30" s="32" t="n">
        <f aca="false">N30-O30</f>
        <v>7617303.10141597</v>
      </c>
      <c r="Q30" s="32" t="n">
        <f aca="false">MAX(0,-P30)</f>
        <v>0</v>
      </c>
      <c r="R30" s="32" t="n">
        <f aca="false">MAX(0,'W Cash Flow'!AF44)</f>
        <v>1625115.36666667</v>
      </c>
      <c r="S30" s="32" t="n">
        <f aca="false">IF(C30&gt;=DATE(YEAR(Funding!$C$6),MONTH(Funding!$C$6),1),P30,1E+099)</f>
        <v>7617303.10141597</v>
      </c>
    </row>
    <row r="31" customFormat="false" ht="28.5" hidden="false" customHeight="true" outlineLevel="0" collapsed="false">
      <c r="C31" s="45" t="n">
        <f aca="false">'W Cash Flow'!AG6</f>
        <v>47027</v>
      </c>
      <c r="D31" s="33" t="n">
        <v>3</v>
      </c>
      <c r="E31" s="33" t="n">
        <f aca="false">'W Cash Flow'!AG41</f>
        <v>1146137.36610664</v>
      </c>
      <c r="F31" s="33" t="n">
        <f aca="false">MAX(0,Sources!F9+Sources!F12)*Terms!$D$22/12</f>
        <v>251262.479591453</v>
      </c>
      <c r="G31" s="33" t="n">
        <f aca="false">IF(MOD(ROW()-5,12)=0,WOO!F10,0)</f>
        <v>0</v>
      </c>
      <c r="H31" s="33" t="n">
        <f aca="false">IF(MOD(ROW()-5,12)=0,Terms!D29,0)</f>
        <v>0</v>
      </c>
      <c r="I31" s="33" t="n">
        <f aca="false">WOO!F14/12</f>
        <v>85943.8510201545</v>
      </c>
      <c r="J31" s="33" t="n">
        <f aca="false">'W Cash Flow'!AG46</f>
        <v>0</v>
      </c>
      <c r="K31" s="33" t="n">
        <f aca="false">E31-SUM(F31:J31)</f>
        <v>808931.035495033</v>
      </c>
      <c r="L31" s="33" t="n">
        <f aca="false">SUMIFS(Funding!$H$6:$H$8,Funding!$C$6:$C$8,"&gt;="&amp;C31,Funding!$C$6:$C$8,"&lt;"&amp;EDATE(C31,1))</f>
        <v>0</v>
      </c>
      <c r="M31" s="33" t="n">
        <f aca="false">P30</f>
        <v>7617303.10141597</v>
      </c>
      <c r="N31" s="33" t="n">
        <f aca="false">SUM(K31:M31)</f>
        <v>8426234.13691101</v>
      </c>
      <c r="O31" s="33" t="n">
        <f aca="false">IF(D31=1,0,IF(MOD(ROW()-5,12)=0,MAX(0,MIN(WOO!F15*Terms!$D$21,N31-Sources!$D$16-R31)),0))</f>
        <v>0</v>
      </c>
      <c r="P31" s="33" t="n">
        <f aca="false">N31-O31</f>
        <v>8426234.13691101</v>
      </c>
      <c r="Q31" s="33" t="n">
        <f aca="false">MAX(0,-P31)</f>
        <v>0</v>
      </c>
      <c r="R31" s="33" t="n">
        <f aca="false">MAX(0,'W Cash Flow'!AG44)</f>
        <v>1801593.4</v>
      </c>
      <c r="S31" s="33" t="n">
        <f aca="false">IF(C31&gt;=DATE(YEAR(Funding!$C$6),MONTH(Funding!$C$6),1),P31,1E+099)</f>
        <v>8426234.13691101</v>
      </c>
    </row>
    <row r="32" customFormat="false" ht="28.5" hidden="false" customHeight="true" outlineLevel="0" collapsed="false">
      <c r="C32" s="44" t="n">
        <f aca="false">'W Cash Flow'!AH6</f>
        <v>47058</v>
      </c>
      <c r="D32" s="32" t="n">
        <v>3</v>
      </c>
      <c r="E32" s="32" t="n">
        <f aca="false">'W Cash Flow'!AH41</f>
        <v>929360.33069336</v>
      </c>
      <c r="F32" s="32" t="n">
        <f aca="false">MAX(0,Sources!F9+Sources!F12)*Terms!$D$22/12</f>
        <v>251262.479591453</v>
      </c>
      <c r="G32" s="32" t="n">
        <f aca="false">IF(MOD(ROW()-5,12)=0,WOO!F10,0)</f>
        <v>0</v>
      </c>
      <c r="H32" s="32" t="n">
        <f aca="false">IF(MOD(ROW()-5,12)=0,Terms!D29,0)</f>
        <v>0</v>
      </c>
      <c r="I32" s="32" t="n">
        <f aca="false">WOO!F14/12</f>
        <v>85943.8510201545</v>
      </c>
      <c r="J32" s="32" t="n">
        <f aca="false">'W Cash Flow'!AH46</f>
        <v>0</v>
      </c>
      <c r="K32" s="32" t="n">
        <f aca="false">E32-SUM(F32:J32)</f>
        <v>592154.000081752</v>
      </c>
      <c r="L32" s="32" t="n">
        <f aca="false">SUMIFS(Funding!$H$6:$H$8,Funding!$C$6:$C$8,"&gt;="&amp;C32,Funding!$C$6:$C$8,"&lt;"&amp;EDATE(C32,1))</f>
        <v>0</v>
      </c>
      <c r="M32" s="32" t="n">
        <f aca="false">P31</f>
        <v>8426234.13691101</v>
      </c>
      <c r="N32" s="32" t="n">
        <f aca="false">SUM(K32:M32)</f>
        <v>9018388.13699276</v>
      </c>
      <c r="O32" s="32" t="n">
        <f aca="false">IF(D32=1,0,IF(MOD(ROW()-5,12)=0,MAX(0,MIN(WOO!F15*Terms!$D$21,N32-Sources!$D$16-R32)),0))</f>
        <v>0</v>
      </c>
      <c r="P32" s="32" t="n">
        <f aca="false">N32-O32</f>
        <v>9018388.13699276</v>
      </c>
      <c r="Q32" s="32" t="n">
        <f aca="false">MAX(0,-P32)</f>
        <v>0</v>
      </c>
      <c r="R32" s="32" t="n">
        <f aca="false">MAX(0,'W Cash Flow'!AH44)</f>
        <v>1302406.85</v>
      </c>
      <c r="S32" s="32" t="n">
        <f aca="false">IF(C32&gt;=DATE(YEAR(Funding!$C$6),MONTH(Funding!$C$6),1),P32,1E+099)</f>
        <v>9018388.13699276</v>
      </c>
    </row>
    <row r="33" customFormat="false" ht="28.5" hidden="false" customHeight="true" outlineLevel="0" collapsed="false">
      <c r="C33" s="45" t="n">
        <f aca="false">'W Cash Flow'!AI6</f>
        <v>47088</v>
      </c>
      <c r="D33" s="33" t="n">
        <v>3</v>
      </c>
      <c r="E33" s="33" t="n">
        <f aca="false">'W Cash Flow'!AI41</f>
        <v>1750894.55136646</v>
      </c>
      <c r="F33" s="33" t="n">
        <f aca="false">MAX(0,Sources!F9+Sources!F12)*Terms!$D$22/12</f>
        <v>251262.479591453</v>
      </c>
      <c r="G33" s="33" t="n">
        <f aca="false">IF(MOD(ROW()-5,12)=0,WOO!F10,0)</f>
        <v>0</v>
      </c>
      <c r="H33" s="33" t="n">
        <f aca="false">IF(MOD(ROW()-5,12)=0,Terms!D29,0)</f>
        <v>0</v>
      </c>
      <c r="I33" s="33" t="n">
        <f aca="false">WOO!F14/12</f>
        <v>85943.8510201545</v>
      </c>
      <c r="J33" s="33" t="n">
        <f aca="false">'W Cash Flow'!AI46</f>
        <v>0</v>
      </c>
      <c r="K33" s="33" t="n">
        <f aca="false">E33-SUM(F33:J33)</f>
        <v>1413688.22075485</v>
      </c>
      <c r="L33" s="33" t="n">
        <f aca="false">SUMIFS(Funding!$H$6:$H$8,Funding!$C$6:$C$8,"&gt;="&amp;C33,Funding!$C$6:$C$8,"&lt;"&amp;EDATE(C33,1))</f>
        <v>0</v>
      </c>
      <c r="M33" s="33" t="n">
        <f aca="false">P32</f>
        <v>9018388.13699276</v>
      </c>
      <c r="N33" s="33" t="n">
        <f aca="false">SUM(K33:M33)</f>
        <v>10432076.3577476</v>
      </c>
      <c r="O33" s="33" t="n">
        <f aca="false">IF(D33=1,0,IF(MOD(ROW()-5,12)=0,MAX(0,MIN(WOO!F15*Terms!$D$21,N33-Sources!$D$16-R33)),0))</f>
        <v>0</v>
      </c>
      <c r="P33" s="33" t="n">
        <f aca="false">N33-O33</f>
        <v>10432076.3577476</v>
      </c>
      <c r="Q33" s="33" t="n">
        <f aca="false">MAX(0,-P33)</f>
        <v>0</v>
      </c>
      <c r="R33" s="33" t="n">
        <f aca="false">MAX(0,'W Cash Flow'!AI44)</f>
        <v>1627876.55</v>
      </c>
      <c r="S33" s="33" t="n">
        <f aca="false">IF(C33&gt;=DATE(YEAR(Funding!$C$6),MONTH(Funding!$C$6),1),P33,1E+099)</f>
        <v>10432076.3577476</v>
      </c>
    </row>
    <row r="34" customFormat="false" ht="28.5" hidden="false" customHeight="true" outlineLevel="0" collapsed="false">
      <c r="C34" s="44" t="n">
        <f aca="false">'W Cash Flow'!AJ6</f>
        <v>47119</v>
      </c>
      <c r="D34" s="32" t="n">
        <v>3</v>
      </c>
      <c r="E34" s="32" t="n">
        <f aca="false">'W Cash Flow'!AJ41</f>
        <v>1451462.84773754</v>
      </c>
      <c r="F34" s="32" t="n">
        <f aca="false">MAX(0,Sources!F9+Sources!F12)*Terms!$D$22/12</f>
        <v>251262.479591453</v>
      </c>
      <c r="G34" s="32" t="n">
        <f aca="false">IF(MOD(ROW()-5,12)=0,WOO!F10,0)</f>
        <v>0</v>
      </c>
      <c r="H34" s="32" t="n">
        <f aca="false">IF(MOD(ROW()-5,12)=0,Terms!D29,0)</f>
        <v>0</v>
      </c>
      <c r="I34" s="32" t="n">
        <f aca="false">WOO!F14/12</f>
        <v>85943.8510201545</v>
      </c>
      <c r="J34" s="32" t="n">
        <f aca="false">'W Cash Flow'!AJ46</f>
        <v>0</v>
      </c>
      <c r="K34" s="32" t="n">
        <f aca="false">E34-SUM(F34:J34)</f>
        <v>1114256.51712593</v>
      </c>
      <c r="L34" s="32" t="n">
        <f aca="false">SUMIFS(Funding!$H$6:$H$8,Funding!$C$6:$C$8,"&gt;="&amp;C34,Funding!$C$6:$C$8,"&lt;"&amp;EDATE(C34,1))</f>
        <v>0</v>
      </c>
      <c r="M34" s="32" t="n">
        <f aca="false">P33</f>
        <v>10432076.3577476</v>
      </c>
      <c r="N34" s="32" t="n">
        <f aca="false">SUM(K34:M34)</f>
        <v>11546332.8748735</v>
      </c>
      <c r="O34" s="32" t="n">
        <f aca="false">IF(D34=1,0,IF(MOD(ROW()-5,12)=0,MAX(0,MIN(WOO!F15*Terms!$D$21,N34-Sources!$D$16-R34)),0))</f>
        <v>0</v>
      </c>
      <c r="P34" s="32" t="n">
        <f aca="false">N34-O34</f>
        <v>11546332.8748735</v>
      </c>
      <c r="Q34" s="32" t="n">
        <f aca="false">MAX(0,-P34)</f>
        <v>0</v>
      </c>
      <c r="R34" s="32" t="n">
        <f aca="false">MAX(0,'W Cash Flow'!AJ44)</f>
        <v>1953346.25</v>
      </c>
      <c r="S34" s="32" t="n">
        <f aca="false">IF(C34&gt;=DATE(YEAR(Funding!$C$6),MONTH(Funding!$C$6),1),P34,1E+099)</f>
        <v>11546332.8748735</v>
      </c>
    </row>
    <row r="35" customFormat="false" ht="28.5" hidden="false" customHeight="true" outlineLevel="0" collapsed="false">
      <c r="C35" s="45" t="n">
        <f aca="false">'W Cash Flow'!AK6</f>
        <v>47150</v>
      </c>
      <c r="D35" s="33" t="n">
        <v>3</v>
      </c>
      <c r="E35" s="33" t="n">
        <f aca="false">'W Cash Flow'!AK41</f>
        <v>1054761.87187001</v>
      </c>
      <c r="F35" s="33" t="n">
        <f aca="false">MAX(0,Sources!F9+Sources!F12)*Terms!$D$22/12</f>
        <v>251262.479591453</v>
      </c>
      <c r="G35" s="33" t="n">
        <f aca="false">IF(MOD(ROW()-5,12)=0,WOO!F10,0)</f>
        <v>0</v>
      </c>
      <c r="H35" s="33" t="n">
        <f aca="false">IF(MOD(ROW()-5,12)=0,Terms!D29,0)</f>
        <v>0</v>
      </c>
      <c r="I35" s="33" t="n">
        <f aca="false">WOO!F14/12</f>
        <v>85943.8510201545</v>
      </c>
      <c r="J35" s="33" t="n">
        <f aca="false">'W Cash Flow'!AK46</f>
        <v>0</v>
      </c>
      <c r="K35" s="33" t="n">
        <f aca="false">E35-SUM(F35:J35)</f>
        <v>717555.541258407</v>
      </c>
      <c r="L35" s="33" t="n">
        <f aca="false">SUMIFS(Funding!$H$6:$H$8,Funding!$C$6:$C$8,"&gt;="&amp;C35,Funding!$C$6:$C$8,"&lt;"&amp;EDATE(C35,1))</f>
        <v>0</v>
      </c>
      <c r="M35" s="33" t="n">
        <f aca="false">P34</f>
        <v>11546332.8748735</v>
      </c>
      <c r="N35" s="33" t="n">
        <f aca="false">SUM(K35:M35)</f>
        <v>12263888.4161319</v>
      </c>
      <c r="O35" s="33" t="n">
        <f aca="false">IF(D35=1,0,IF(MOD(ROW()-5,12)=0,MAX(0,MIN(WOO!F15*Terms!$D$21,N35-Sources!$D$16-R35)),0))</f>
        <v>0</v>
      </c>
      <c r="P35" s="33" t="n">
        <f aca="false">N35-O35</f>
        <v>12263888.4161319</v>
      </c>
      <c r="Q35" s="33" t="n">
        <f aca="false">MAX(0,-P35)</f>
        <v>0</v>
      </c>
      <c r="R35" s="33" t="n">
        <f aca="false">MAX(0,'W Cash Flow'!AK44)</f>
        <v>2278815.95</v>
      </c>
      <c r="S35" s="33" t="n">
        <f aca="false">IF(C35&gt;=DATE(YEAR(Funding!$C$6),MONTH(Funding!$C$6),1),P35,1E+099)</f>
        <v>12263888.4161319</v>
      </c>
    </row>
    <row r="36" customFormat="false" ht="28.5" hidden="false" customHeight="true" outlineLevel="0" collapsed="false">
      <c r="C36" s="44" t="n">
        <f aca="false">'W Cash Flow'!AL6</f>
        <v>47178</v>
      </c>
      <c r="D36" s="32" t="n">
        <v>3</v>
      </c>
      <c r="E36" s="32" t="n">
        <f aca="false">'W Cash Flow'!AL41</f>
        <v>1495526.49933514</v>
      </c>
      <c r="F36" s="32" t="n">
        <f aca="false">MAX(0,Sources!F9+Sources!F12)*Terms!$D$22/12</f>
        <v>251262.479591453</v>
      </c>
      <c r="G36" s="32" t="n">
        <f aca="false">IF(MOD(ROW()-5,12)=0,WOO!F10,0)</f>
        <v>0</v>
      </c>
      <c r="H36" s="32" t="n">
        <f aca="false">IF(MOD(ROW()-5,12)=0,Terms!D29,0)</f>
        <v>0</v>
      </c>
      <c r="I36" s="32" t="n">
        <f aca="false">WOO!F14/12</f>
        <v>85943.8510201545</v>
      </c>
      <c r="J36" s="32" t="n">
        <f aca="false">'W Cash Flow'!AL46</f>
        <v>0</v>
      </c>
      <c r="K36" s="32" t="n">
        <f aca="false">E36-SUM(F36:J36)</f>
        <v>1158320.16872353</v>
      </c>
      <c r="L36" s="32" t="n">
        <f aca="false">SUMIFS(Funding!$H$6:$H$8,Funding!$C$6:$C$8,"&gt;="&amp;C36,Funding!$C$6:$C$8,"&lt;"&amp;EDATE(C36,1))</f>
        <v>0</v>
      </c>
      <c r="M36" s="32" t="n">
        <f aca="false">P35</f>
        <v>12263888.4161319</v>
      </c>
      <c r="N36" s="32" t="n">
        <f aca="false">SUM(K36:M36)</f>
        <v>13422208.5848555</v>
      </c>
      <c r="O36" s="32" t="n">
        <f aca="false">IF(D36=1,0,IF(MOD(ROW()-5,12)=0,MAX(0,MIN(WOO!F15*Terms!$D$21,N36-Sources!$D$16-R36)),0))</f>
        <v>0</v>
      </c>
      <c r="P36" s="32" t="n">
        <f aca="false">N36-O36</f>
        <v>13422208.5848555</v>
      </c>
      <c r="Q36" s="32" t="n">
        <f aca="false">MAX(0,-P36)</f>
        <v>0</v>
      </c>
      <c r="R36" s="32" t="n">
        <f aca="false">MAX(0,'W Cash Flow'!AL44)</f>
        <v>2604285.65</v>
      </c>
      <c r="S36" s="32" t="n">
        <f aca="false">IF(C36&gt;=DATE(YEAR(Funding!$C$6),MONTH(Funding!$C$6),1),P36,1E+099)</f>
        <v>13422208.5848555</v>
      </c>
    </row>
    <row r="37" customFormat="false" ht="28.5" hidden="false" customHeight="true" outlineLevel="0" collapsed="false">
      <c r="C37" s="45" t="n">
        <f aca="false">'W Cash Flow'!AM6</f>
        <v>47209</v>
      </c>
      <c r="D37" s="33" t="n">
        <v>3</v>
      </c>
      <c r="E37" s="33" t="n">
        <f aca="false">'W Cash Flow'!AM41</f>
        <v>1456516.1908828</v>
      </c>
      <c r="F37" s="33" t="n">
        <f aca="false">MAX(0,Sources!F9+Sources!F12)*Terms!$D$22/12</f>
        <v>251262.479591453</v>
      </c>
      <c r="G37" s="33" t="n">
        <f aca="false">IF(MOD(ROW()-5,12)=0,WOO!F10,0)</f>
        <v>0</v>
      </c>
      <c r="H37" s="33" t="n">
        <f aca="false">IF(MOD(ROW()-5,12)=0,Terms!D29,0)</f>
        <v>0</v>
      </c>
      <c r="I37" s="33" t="n">
        <f aca="false">WOO!F14/12</f>
        <v>85943.8510201545</v>
      </c>
      <c r="J37" s="33" t="n">
        <f aca="false">'W Cash Flow'!AM46</f>
        <v>0</v>
      </c>
      <c r="K37" s="33" t="n">
        <f aca="false">E37-SUM(F37:J37)</f>
        <v>1119309.86027119</v>
      </c>
      <c r="L37" s="33" t="n">
        <f aca="false">SUMIFS(Funding!$H$6:$H$8,Funding!$C$6:$C$8,"&gt;="&amp;C37,Funding!$C$6:$C$8,"&lt;"&amp;EDATE(C37,1))</f>
        <v>0</v>
      </c>
      <c r="M37" s="33" t="n">
        <f aca="false">P36</f>
        <v>13422208.5848555</v>
      </c>
      <c r="N37" s="33" t="n">
        <f aca="false">SUM(K37:M37)</f>
        <v>14541518.4451267</v>
      </c>
      <c r="O37" s="33" t="n">
        <f aca="false">IF(D37=1,0,IF(MOD(ROW()-5,12)=0,MAX(0,MIN(WOO!F15*Terms!$D$21,N37-Sources!$D$16-R37)),0))</f>
        <v>0</v>
      </c>
      <c r="P37" s="33" t="n">
        <f aca="false">N37-O37</f>
        <v>14541518.4451267</v>
      </c>
      <c r="Q37" s="33" t="n">
        <f aca="false">MAX(0,-P37)</f>
        <v>0</v>
      </c>
      <c r="R37" s="33" t="n">
        <f aca="false">MAX(0,'W Cash Flow'!AM44)</f>
        <v>2929755.35</v>
      </c>
      <c r="S37" s="33" t="n">
        <f aca="false">IF(C37&gt;=DATE(YEAR(Funding!$C$6),MONTH(Funding!$C$6),1),P37,1E+099)</f>
        <v>14541518.4451267</v>
      </c>
    </row>
    <row r="38" customFormat="false" ht="28.5" hidden="false" customHeight="true" outlineLevel="0" collapsed="false">
      <c r="C38" s="44" t="n">
        <f aca="false">'W Cash Flow'!AN6</f>
        <v>47239</v>
      </c>
      <c r="D38" s="32" t="n">
        <v>3</v>
      </c>
      <c r="E38" s="32" t="n">
        <f aca="false">'W Cash Flow'!AN41</f>
        <v>1036513.02657119</v>
      </c>
      <c r="F38" s="32" t="n">
        <f aca="false">MAX(0,Sources!F9+Sources!F12)*Terms!$D$22/12</f>
        <v>251262.479591453</v>
      </c>
      <c r="G38" s="32" t="n">
        <f aca="false">IF(MOD(ROW()-5,12)=0,WOO!F10,0)</f>
        <v>0</v>
      </c>
      <c r="H38" s="32" t="n">
        <f aca="false">IF(MOD(ROW()-5,12)=0,Terms!D29,0)</f>
        <v>0</v>
      </c>
      <c r="I38" s="32" t="n">
        <f aca="false">WOO!F14/12</f>
        <v>85943.8510201545</v>
      </c>
      <c r="J38" s="32" t="n">
        <f aca="false">'W Cash Flow'!AN46</f>
        <v>0</v>
      </c>
      <c r="K38" s="32" t="n">
        <f aca="false">E38-SUM(F38:J38)</f>
        <v>699306.695959578</v>
      </c>
      <c r="L38" s="32" t="n">
        <f aca="false">SUMIFS(Funding!$H$6:$H$8,Funding!$C$6:$C$8,"&gt;="&amp;C38,Funding!$C$6:$C$8,"&lt;"&amp;EDATE(C38,1))</f>
        <v>0</v>
      </c>
      <c r="M38" s="32" t="n">
        <f aca="false">P37</f>
        <v>14541518.4451267</v>
      </c>
      <c r="N38" s="32" t="n">
        <f aca="false">SUM(K38:M38)</f>
        <v>15240825.1410862</v>
      </c>
      <c r="O38" s="32" t="n">
        <f aca="false">IF(D38=1,0,IF(MOD(ROW()-5,12)=0,MAX(0,MIN(WOO!F15*Terms!$D$21,N38-Sources!$D$16-R38)),0))</f>
        <v>0</v>
      </c>
      <c r="P38" s="32" t="n">
        <f aca="false">N38-O38</f>
        <v>15240825.1410862</v>
      </c>
      <c r="Q38" s="32" t="n">
        <f aca="false">MAX(0,-P38)</f>
        <v>0</v>
      </c>
      <c r="R38" s="32" t="n">
        <f aca="false">MAX(0,'W Cash Flow'!AN44)</f>
        <v>3255225.05</v>
      </c>
      <c r="S38" s="32" t="n">
        <f aca="false">IF(C38&gt;=DATE(YEAR(Funding!$C$6),MONTH(Funding!$C$6),1),P38,1E+099)</f>
        <v>15240825.1410862</v>
      </c>
    </row>
    <row r="39" customFormat="false" ht="28.5" hidden="false" customHeight="true" outlineLevel="0" collapsed="false">
      <c r="C39" s="45" t="n">
        <f aca="false">'W Cash Flow'!AO6</f>
        <v>47270</v>
      </c>
      <c r="D39" s="33" t="n">
        <v>3</v>
      </c>
      <c r="E39" s="33" t="n">
        <f aca="false">'W Cash Flow'!AO41</f>
        <v>1234676.16812416</v>
      </c>
      <c r="F39" s="33" t="n">
        <f aca="false">MAX(0,Sources!F9+Sources!F12)*Terms!$D$22/12</f>
        <v>251262.479591453</v>
      </c>
      <c r="G39" s="33" t="n">
        <f aca="false">IF(MOD(ROW()-5,12)=0,WOO!F10,0)</f>
        <v>0</v>
      </c>
      <c r="H39" s="33" t="n">
        <f aca="false">IF(MOD(ROW()-5,12)=0,Terms!D29,0)</f>
        <v>0</v>
      </c>
      <c r="I39" s="33" t="n">
        <f aca="false">WOO!F14/12</f>
        <v>85943.8510201545</v>
      </c>
      <c r="J39" s="33" t="n">
        <f aca="false">'W Cash Flow'!AO46</f>
        <v>0</v>
      </c>
      <c r="K39" s="33" t="n">
        <f aca="false">E39-SUM(F39:J39)</f>
        <v>897469.837512552</v>
      </c>
      <c r="L39" s="33" t="n">
        <f aca="false">SUMIFS(Funding!$H$6:$H$8,Funding!$C$6:$C$8,"&gt;="&amp;C39,Funding!$C$6:$C$8,"&lt;"&amp;EDATE(C39,1))</f>
        <v>0</v>
      </c>
      <c r="M39" s="33" t="n">
        <f aca="false">P38</f>
        <v>15240825.1410862</v>
      </c>
      <c r="N39" s="33" t="n">
        <f aca="false">SUM(K39:M39)</f>
        <v>16138294.9785988</v>
      </c>
      <c r="O39" s="33" t="n">
        <f aca="false">IF(D39=1,0,IF(MOD(ROW()-5,12)=0,MAX(0,MIN(WOO!F15*Terms!$D$21,N39-Sources!$D$16-R39)),0))</f>
        <v>0</v>
      </c>
      <c r="P39" s="33" t="n">
        <f aca="false">N39-O39</f>
        <v>16138294.9785988</v>
      </c>
      <c r="Q39" s="33" t="n">
        <f aca="false">MAX(0,-P39)</f>
        <v>0</v>
      </c>
      <c r="R39" s="33" t="n">
        <f aca="false">MAX(0,'W Cash Flow'!AO44)</f>
        <v>3580694.75</v>
      </c>
      <c r="S39" s="33" t="n">
        <f aca="false">IF(C39&gt;=DATE(YEAR(Funding!$C$6),MONTH(Funding!$C$6),1),P39,1E+099)</f>
        <v>16138294.9785988</v>
      </c>
    </row>
    <row r="40" customFormat="false" ht="28.5" hidden="false" customHeight="true" outlineLevel="0" collapsed="false">
      <c r="C40" s="44" t="n">
        <f aca="false">'W Cash Flow'!AP6</f>
        <v>47300</v>
      </c>
      <c r="D40" s="32" t="n">
        <v>3</v>
      </c>
      <c r="E40" s="32" t="n">
        <f aca="false">'W Cash Flow'!AP41</f>
        <v>1347688.28078518</v>
      </c>
      <c r="F40" s="32" t="n">
        <f aca="false">MAX(0,Sources!F9+Sources!F12)*Terms!$D$22/12</f>
        <v>251262.479591453</v>
      </c>
      <c r="G40" s="32" t="n">
        <f aca="false">IF(MOD(ROW()-5,12)=0,WOO!F10,0)</f>
        <v>0</v>
      </c>
      <c r="H40" s="32" t="n">
        <f aca="false">IF(MOD(ROW()-5,12)=0,Terms!D29,0)</f>
        <v>0</v>
      </c>
      <c r="I40" s="32" t="n">
        <f aca="false">WOO!F14/12</f>
        <v>85943.8510201545</v>
      </c>
      <c r="J40" s="32" t="n">
        <f aca="false">'W Cash Flow'!AP46</f>
        <v>0</v>
      </c>
      <c r="K40" s="32" t="n">
        <f aca="false">E40-SUM(F40:J40)</f>
        <v>1010481.95017357</v>
      </c>
      <c r="L40" s="32" t="n">
        <f aca="false">SUMIFS(Funding!$H$6:$H$8,Funding!$C$6:$C$8,"&gt;="&amp;C40,Funding!$C$6:$C$8,"&lt;"&amp;EDATE(C40,1))</f>
        <v>0</v>
      </c>
      <c r="M40" s="32" t="n">
        <f aca="false">P39</f>
        <v>16138294.9785988</v>
      </c>
      <c r="N40" s="32" t="n">
        <f aca="false">SUM(K40:M40)</f>
        <v>17148776.9287724</v>
      </c>
      <c r="O40" s="32" t="n">
        <f aca="false">IF(D40=1,0,IF(MOD(ROW()-5,12)=0,MAX(0,MIN(WOO!F15*Terms!$D$21,N40-Sources!$D$16-R40)),0))</f>
        <v>0</v>
      </c>
      <c r="P40" s="32" t="n">
        <f aca="false">N40-O40</f>
        <v>17148776.9287724</v>
      </c>
      <c r="Q40" s="32" t="n">
        <f aca="false">MAX(0,-P40)</f>
        <v>0</v>
      </c>
      <c r="R40" s="32" t="n">
        <f aca="false">MAX(0,'W Cash Flow'!AP44)</f>
        <v>3906164.45</v>
      </c>
      <c r="S40" s="32" t="n">
        <f aca="false">IF(C40&gt;=DATE(YEAR(Funding!$C$6),MONTH(Funding!$C$6),1),P40,1E+099)</f>
        <v>17148776.9287724</v>
      </c>
    </row>
    <row r="41" customFormat="false" ht="28.5" hidden="false" customHeight="true" outlineLevel="0" collapsed="false">
      <c r="C41" s="45" t="n">
        <f aca="false">'W Cash Flow'!AQ6</f>
        <v>47331</v>
      </c>
      <c r="D41" s="33" t="n">
        <v>3</v>
      </c>
      <c r="E41" s="33" t="n">
        <f aca="false">'W Cash Flow'!AQ41</f>
        <v>1182638.91279263</v>
      </c>
      <c r="F41" s="33" t="n">
        <f aca="false">MAX(0,Sources!F9+Sources!F12)*Terms!$D$22/12</f>
        <v>251262.479591453</v>
      </c>
      <c r="G41" s="33" t="n">
        <f aca="false">IF(MOD(ROW()-5,12)=0,WOO!F10,0)</f>
        <v>583815.999035673</v>
      </c>
      <c r="H41" s="33" t="n">
        <f aca="false">IF(MOD(ROW()-5,12)=0,Terms!D29,0)</f>
        <v>0</v>
      </c>
      <c r="I41" s="33" t="n">
        <f aca="false">WOO!F14/12</f>
        <v>85943.8510201545</v>
      </c>
      <c r="J41" s="33" t="n">
        <f aca="false">'W Cash Flow'!AQ46</f>
        <v>0</v>
      </c>
      <c r="K41" s="33" t="n">
        <f aca="false">E41-SUM(F41:J41)</f>
        <v>261616.583145353</v>
      </c>
      <c r="L41" s="33" t="n">
        <f aca="false">SUMIFS(Funding!$H$6:$H$8,Funding!$C$6:$C$8,"&gt;="&amp;C41,Funding!$C$6:$C$8,"&lt;"&amp;EDATE(C41,1))</f>
        <v>0</v>
      </c>
      <c r="M41" s="33" t="n">
        <f aca="false">P40</f>
        <v>17148776.9287724</v>
      </c>
      <c r="N41" s="33" t="n">
        <f aca="false">SUM(K41:M41)</f>
        <v>17410393.5119177</v>
      </c>
      <c r="O41" s="33" t="n">
        <f aca="false">IF(D41=1,0,IF(MOD(ROW()-5,12)=0,MAX(0,MIN(WOO!F15*Terms!$D$21,N41-Sources!$D$16-R41)),0))</f>
        <v>4640967.95508834</v>
      </c>
      <c r="P41" s="33" t="n">
        <f aca="false">N41-O41</f>
        <v>12769425.5568294</v>
      </c>
      <c r="Q41" s="33" t="n">
        <f aca="false">MAX(0,-P41)</f>
        <v>0</v>
      </c>
      <c r="R41" s="33" t="n">
        <f aca="false">MAX(0,'W Cash Flow'!AQ44)</f>
        <v>4231634.15</v>
      </c>
      <c r="S41" s="33" t="n">
        <f aca="false">IF(C41&gt;=DATE(YEAR(Funding!$C$6),MONTH(Funding!$C$6),1),P41,1E+099)</f>
        <v>12769425.5568294</v>
      </c>
    </row>
    <row r="44" customFormat="false" ht="37.5" hidden="false" customHeight="true" outlineLevel="0" collapsed="false">
      <c r="C44" s="6" t="s">
        <v>209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customFormat="false" ht="37.5" hidden="false" customHeight="true" outlineLevel="0" collapsed="false">
      <c r="C45" s="6" t="s">
        <v>210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customFormat="false" ht="37.5" hidden="false" customHeight="true" outlineLevel="0" collapsed="false">
      <c r="C46" s="6" t="s">
        <v>211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</sheetData>
  <mergeCells count="4">
    <mergeCell ref="C2:Q2"/>
    <mergeCell ref="C44:Q44"/>
    <mergeCell ref="C45:Q45"/>
    <mergeCell ref="C46:Q46"/>
  </mergeCells>
  <conditionalFormatting sqref="P6:P41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A6AD"/>
    <pageSetUpPr fitToPage="true"/>
  </sheetPr>
  <dimension ref="C2:N4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1" width="2"/>
    <col collapsed="false" customWidth="true" hidden="false" outlineLevel="0" max="14" min="3" style="1" width="19"/>
  </cols>
  <sheetData>
    <row r="2" customFormat="false" ht="42.75" hidden="false" customHeight="true" outlineLevel="0" collapsed="false">
      <c r="C2" s="2" t="s">
        <v>212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5" customFormat="false" ht="43.5" hidden="false" customHeight="true" outlineLevel="0" collapsed="false">
      <c r="C5" s="3" t="s">
        <v>192</v>
      </c>
      <c r="D5" s="3" t="s">
        <v>193</v>
      </c>
      <c r="E5" s="3" t="s">
        <v>213</v>
      </c>
      <c r="F5" s="3" t="s">
        <v>214</v>
      </c>
      <c r="G5" s="3" t="s">
        <v>215</v>
      </c>
      <c r="H5" s="3" t="s">
        <v>216</v>
      </c>
      <c r="I5" s="3" t="s">
        <v>217</v>
      </c>
      <c r="J5" s="3" t="s">
        <v>218</v>
      </c>
      <c r="K5" s="3" t="s">
        <v>219</v>
      </c>
      <c r="L5" s="3" t="s">
        <v>220</v>
      </c>
      <c r="M5" s="3" t="s">
        <v>221</v>
      </c>
      <c r="N5" s="3" t="s">
        <v>222</v>
      </c>
    </row>
    <row r="6" customFormat="false" ht="28.5" hidden="false" customHeight="true" outlineLevel="0" collapsed="false">
      <c r="C6" s="44" t="n">
        <v>46388</v>
      </c>
      <c r="D6" s="32" t="n">
        <v>2027</v>
      </c>
      <c r="E6" s="32" t="n">
        <f aca="false">Apps!D33/12</f>
        <v>-30470</v>
      </c>
      <c r="F6" s="32" t="n">
        <f aca="false">Apps!D57/12</f>
        <v>-42300</v>
      </c>
      <c r="G6" s="32" t="n">
        <f aca="false">Apps!D81/12</f>
        <v>-148891.666666667</v>
      </c>
      <c r="H6" s="32" t="n">
        <f aca="false">SUMIFS(Funding!$E$6:$E$8,Funding!$C$6:$C$8,"&gt;="&amp;C6,Funding!$C$6:$C$8,"&lt;"&amp;EDATE(C6,1))</f>
        <v>414000</v>
      </c>
      <c r="I6" s="32" t="n">
        <f aca="false">SUMIFS(Funding!$F$6:$F$8,Funding!$C$6:$C$8,"&gt;="&amp;C6,Funding!$C$6:$C$8,"&lt;"&amp;EDATE(C6,1))</f>
        <v>387000</v>
      </c>
      <c r="J6" s="32" t="n">
        <f aca="false">SUMIFS(Funding!$G$6:$G$8,Funding!$C$6:$C$8,"&gt;="&amp;C6,Funding!$C$6:$C$8,"&lt;"&amp;EDATE(C6,1))</f>
        <v>1500000</v>
      </c>
      <c r="K6" s="32" t="n">
        <f aca="false">SUMIFS(Funding!$E$6:$E$8,Funding!$C$6:$C$8,"&lt;"&amp;C6)+E6+H6-IF(MONTH(C6)=12,Apps!D36,0)</f>
        <v>1073530</v>
      </c>
      <c r="L6" s="32" t="n">
        <f aca="false">SUMIFS(Funding!$F$6:$F$8,Funding!$C$6:$C$8,"&lt;"&amp;C6)+F6+I6-IF(MONTH(C6)=12,Apps!D60,0)</f>
        <v>989700</v>
      </c>
      <c r="M6" s="32" t="n">
        <f aca="false">SUMIFS(Funding!$G$6:$G$8,Funding!$C$6:$C$8,"&lt;"&amp;C6)+G6+J6-IF(MONTH(C6)=12,Apps!D84,0)</f>
        <v>3851108.33333333</v>
      </c>
      <c r="N6" s="32" t="n">
        <f aca="false">MAX(0,-MIN(K6:M6))</f>
        <v>0</v>
      </c>
    </row>
    <row r="7" customFormat="false" ht="28.5" hidden="false" customHeight="true" outlineLevel="0" collapsed="false">
      <c r="C7" s="45" t="n">
        <v>46419</v>
      </c>
      <c r="D7" s="33" t="n">
        <v>2027</v>
      </c>
      <c r="E7" s="33" t="n">
        <f aca="false">Apps!D33/12</f>
        <v>-30470</v>
      </c>
      <c r="F7" s="33" t="n">
        <f aca="false">Apps!D57/12</f>
        <v>-42300</v>
      </c>
      <c r="G7" s="33" t="n">
        <f aca="false">Apps!D81/12</f>
        <v>-148891.666666667</v>
      </c>
      <c r="H7" s="33" t="n">
        <f aca="false">SUMIFS(Funding!$E$6:$E$8,Funding!$C$6:$C$8,"&gt;="&amp;C7,Funding!$C$6:$C$8,"&lt;"&amp;EDATE(C7,1))</f>
        <v>0</v>
      </c>
      <c r="I7" s="33" t="n">
        <f aca="false">SUMIFS(Funding!$F$6:$F$8,Funding!$C$6:$C$8,"&gt;="&amp;C7,Funding!$C$6:$C$8,"&lt;"&amp;EDATE(C7,1))</f>
        <v>0</v>
      </c>
      <c r="J7" s="33" t="n">
        <f aca="false">SUMIFS(Funding!$G$6:$G$8,Funding!$C$6:$C$8,"&gt;="&amp;C7,Funding!$C$6:$C$8,"&lt;"&amp;EDATE(C7,1))</f>
        <v>0</v>
      </c>
      <c r="K7" s="33" t="n">
        <f aca="false">K6+E7+H7-IF(MONTH(C7)=12,Apps!D36,0)</f>
        <v>1043060</v>
      </c>
      <c r="L7" s="33" t="n">
        <f aca="false">L6+F7+I7-IF(MONTH(C7)=12,Apps!D60,0)</f>
        <v>947400</v>
      </c>
      <c r="M7" s="33" t="n">
        <f aca="false">M6+G7+J7-IF(MONTH(C7)=12,Apps!D84,0)</f>
        <v>3702216.66666667</v>
      </c>
      <c r="N7" s="33" t="n">
        <f aca="false">MAX(0,-MIN(K7:M7))</f>
        <v>0</v>
      </c>
    </row>
    <row r="8" customFormat="false" ht="28.5" hidden="false" customHeight="true" outlineLevel="0" collapsed="false">
      <c r="C8" s="44" t="n">
        <v>46447</v>
      </c>
      <c r="D8" s="32" t="n">
        <v>2027</v>
      </c>
      <c r="E8" s="32" t="n">
        <f aca="false">Apps!D33/12</f>
        <v>-30470</v>
      </c>
      <c r="F8" s="32" t="n">
        <f aca="false">Apps!D57/12</f>
        <v>-42300</v>
      </c>
      <c r="G8" s="32" t="n">
        <f aca="false">Apps!D81/12</f>
        <v>-148891.666666667</v>
      </c>
      <c r="H8" s="32" t="n">
        <f aca="false">SUMIFS(Funding!$E$6:$E$8,Funding!$C$6:$C$8,"&gt;="&amp;C8,Funding!$C$6:$C$8,"&lt;"&amp;EDATE(C8,1))</f>
        <v>0</v>
      </c>
      <c r="I8" s="32" t="n">
        <f aca="false">SUMIFS(Funding!$F$6:$F$8,Funding!$C$6:$C$8,"&gt;="&amp;C8,Funding!$C$6:$C$8,"&lt;"&amp;EDATE(C8,1))</f>
        <v>0</v>
      </c>
      <c r="J8" s="32" t="n">
        <f aca="false">SUMIFS(Funding!$G$6:$G$8,Funding!$C$6:$C$8,"&gt;="&amp;C8,Funding!$C$6:$C$8,"&lt;"&amp;EDATE(C8,1))</f>
        <v>0</v>
      </c>
      <c r="K8" s="32" t="n">
        <f aca="false">K7+E8+H8-IF(MONTH(C8)=12,Apps!D36,0)</f>
        <v>1012590</v>
      </c>
      <c r="L8" s="32" t="n">
        <f aca="false">L7+F8+I8-IF(MONTH(C8)=12,Apps!D60,0)</f>
        <v>905100</v>
      </c>
      <c r="M8" s="32" t="n">
        <f aca="false">M7+G8+J8-IF(MONTH(C8)=12,Apps!D84,0)</f>
        <v>3553325</v>
      </c>
      <c r="N8" s="32" t="n">
        <f aca="false">MAX(0,-MIN(K8:M8))</f>
        <v>0</v>
      </c>
    </row>
    <row r="9" customFormat="false" ht="28.5" hidden="false" customHeight="true" outlineLevel="0" collapsed="false">
      <c r="C9" s="45" t="n">
        <v>46478</v>
      </c>
      <c r="D9" s="33" t="n">
        <v>2027</v>
      </c>
      <c r="E9" s="33" t="n">
        <f aca="false">Apps!D33/12</f>
        <v>-30470</v>
      </c>
      <c r="F9" s="33" t="n">
        <f aca="false">Apps!D57/12</f>
        <v>-42300</v>
      </c>
      <c r="G9" s="33" t="n">
        <f aca="false">Apps!D81/12</f>
        <v>-148891.666666667</v>
      </c>
      <c r="H9" s="33" t="n">
        <f aca="false">SUMIFS(Funding!$E$6:$E$8,Funding!$C$6:$C$8,"&gt;="&amp;C9,Funding!$C$6:$C$8,"&lt;"&amp;EDATE(C9,1))</f>
        <v>276000</v>
      </c>
      <c r="I9" s="33" t="n">
        <f aca="false">SUMIFS(Funding!$F$6:$F$8,Funding!$C$6:$C$8,"&gt;="&amp;C9,Funding!$C$6:$C$8,"&lt;"&amp;EDATE(C9,1))</f>
        <v>258000</v>
      </c>
      <c r="J9" s="33" t="n">
        <f aca="false">SUMIFS(Funding!$G$6:$G$8,Funding!$C$6:$C$8,"&gt;="&amp;C9,Funding!$C$6:$C$8,"&lt;"&amp;EDATE(C9,1))</f>
        <v>1000000</v>
      </c>
      <c r="K9" s="33" t="n">
        <f aca="false">K8+E9+H9-IF(MONTH(C9)=12,Apps!D36,0)</f>
        <v>1258120</v>
      </c>
      <c r="L9" s="33" t="n">
        <f aca="false">L8+F9+I9-IF(MONTH(C9)=12,Apps!D60,0)</f>
        <v>1120800</v>
      </c>
      <c r="M9" s="33" t="n">
        <f aca="false">M8+G9+J9-IF(MONTH(C9)=12,Apps!D84,0)</f>
        <v>4404433.33333333</v>
      </c>
      <c r="N9" s="33" t="n">
        <f aca="false">MAX(0,-MIN(K9:M9))</f>
        <v>0</v>
      </c>
    </row>
    <row r="10" customFormat="false" ht="28.5" hidden="false" customHeight="true" outlineLevel="0" collapsed="false">
      <c r="C10" s="44" t="n">
        <v>46508</v>
      </c>
      <c r="D10" s="32" t="n">
        <v>2027</v>
      </c>
      <c r="E10" s="32" t="n">
        <f aca="false">Apps!D33/12</f>
        <v>-30470</v>
      </c>
      <c r="F10" s="32" t="n">
        <f aca="false">Apps!D57/12</f>
        <v>-42300</v>
      </c>
      <c r="G10" s="32" t="n">
        <f aca="false">Apps!D81/12</f>
        <v>-148891.666666667</v>
      </c>
      <c r="H10" s="32" t="n">
        <f aca="false">SUMIFS(Funding!$E$6:$E$8,Funding!$C$6:$C$8,"&gt;="&amp;C10,Funding!$C$6:$C$8,"&lt;"&amp;EDATE(C10,1))</f>
        <v>0</v>
      </c>
      <c r="I10" s="32" t="n">
        <f aca="false">SUMIFS(Funding!$F$6:$F$8,Funding!$C$6:$C$8,"&gt;="&amp;C10,Funding!$C$6:$C$8,"&lt;"&amp;EDATE(C10,1))</f>
        <v>0</v>
      </c>
      <c r="J10" s="32" t="n">
        <f aca="false">SUMIFS(Funding!$G$6:$G$8,Funding!$C$6:$C$8,"&gt;="&amp;C10,Funding!$C$6:$C$8,"&lt;"&amp;EDATE(C10,1))</f>
        <v>0</v>
      </c>
      <c r="K10" s="32" t="n">
        <f aca="false">K9+E10+H10-IF(MONTH(C10)=12,Apps!D36,0)</f>
        <v>1227650</v>
      </c>
      <c r="L10" s="32" t="n">
        <f aca="false">L9+F10+I10-IF(MONTH(C10)=12,Apps!D60,0)</f>
        <v>1078500</v>
      </c>
      <c r="M10" s="32" t="n">
        <f aca="false">M9+G10+J10-IF(MONTH(C10)=12,Apps!D84,0)</f>
        <v>4255541.66666667</v>
      </c>
      <c r="N10" s="32" t="n">
        <f aca="false">MAX(0,-MIN(K10:M10))</f>
        <v>0</v>
      </c>
    </row>
    <row r="11" customFormat="false" ht="28.5" hidden="false" customHeight="true" outlineLevel="0" collapsed="false">
      <c r="C11" s="45" t="n">
        <v>46539</v>
      </c>
      <c r="D11" s="33" t="n">
        <v>2027</v>
      </c>
      <c r="E11" s="33" t="n">
        <f aca="false">Apps!D33/12</f>
        <v>-30470</v>
      </c>
      <c r="F11" s="33" t="n">
        <f aca="false">Apps!D57/12</f>
        <v>-42300</v>
      </c>
      <c r="G11" s="33" t="n">
        <f aca="false">Apps!D81/12</f>
        <v>-148891.666666667</v>
      </c>
      <c r="H11" s="33" t="n">
        <f aca="false">SUMIFS(Funding!$E$6:$E$8,Funding!$C$6:$C$8,"&gt;="&amp;C11,Funding!$C$6:$C$8,"&lt;"&amp;EDATE(C11,1))</f>
        <v>0</v>
      </c>
      <c r="I11" s="33" t="n">
        <f aca="false">SUMIFS(Funding!$F$6:$F$8,Funding!$C$6:$C$8,"&gt;="&amp;C11,Funding!$C$6:$C$8,"&lt;"&amp;EDATE(C11,1))</f>
        <v>0</v>
      </c>
      <c r="J11" s="33" t="n">
        <f aca="false">SUMIFS(Funding!$G$6:$G$8,Funding!$C$6:$C$8,"&gt;="&amp;C11,Funding!$C$6:$C$8,"&lt;"&amp;EDATE(C11,1))</f>
        <v>0</v>
      </c>
      <c r="K11" s="33" t="n">
        <f aca="false">K10+E11+H11-IF(MONTH(C11)=12,Apps!D36,0)</f>
        <v>1197180</v>
      </c>
      <c r="L11" s="33" t="n">
        <f aca="false">L10+F11+I11-IF(MONTH(C11)=12,Apps!D60,0)</f>
        <v>1036200</v>
      </c>
      <c r="M11" s="33" t="n">
        <f aca="false">M10+G11+J11-IF(MONTH(C11)=12,Apps!D84,0)</f>
        <v>4106650</v>
      </c>
      <c r="N11" s="33" t="n">
        <f aca="false">MAX(0,-MIN(K11:M11))</f>
        <v>0</v>
      </c>
    </row>
    <row r="12" customFormat="false" ht="28.5" hidden="false" customHeight="true" outlineLevel="0" collapsed="false">
      <c r="C12" s="44" t="n">
        <v>46569</v>
      </c>
      <c r="D12" s="32" t="n">
        <v>2027</v>
      </c>
      <c r="E12" s="32" t="n">
        <f aca="false">Apps!D33/12</f>
        <v>-30470</v>
      </c>
      <c r="F12" s="32" t="n">
        <f aca="false">Apps!D57/12</f>
        <v>-42300</v>
      </c>
      <c r="G12" s="32" t="n">
        <f aca="false">Apps!D81/12</f>
        <v>-148891.666666667</v>
      </c>
      <c r="H12" s="32" t="n">
        <f aca="false">SUMIFS(Funding!$E$6:$E$8,Funding!$C$6:$C$8,"&gt;="&amp;C12,Funding!$C$6:$C$8,"&lt;"&amp;EDATE(C12,1))</f>
        <v>0</v>
      </c>
      <c r="I12" s="32" t="n">
        <f aca="false">SUMIFS(Funding!$F$6:$F$8,Funding!$C$6:$C$8,"&gt;="&amp;C12,Funding!$C$6:$C$8,"&lt;"&amp;EDATE(C12,1))</f>
        <v>0</v>
      </c>
      <c r="J12" s="32" t="n">
        <f aca="false">SUMIFS(Funding!$G$6:$G$8,Funding!$C$6:$C$8,"&gt;="&amp;C12,Funding!$C$6:$C$8,"&lt;"&amp;EDATE(C12,1))</f>
        <v>0</v>
      </c>
      <c r="K12" s="32" t="n">
        <f aca="false">K11+E12+H12-IF(MONTH(C12)=12,Apps!D36,0)</f>
        <v>1166710</v>
      </c>
      <c r="L12" s="32" t="n">
        <f aca="false">L11+F12+I12-IF(MONTH(C12)=12,Apps!D60,0)</f>
        <v>993900</v>
      </c>
      <c r="M12" s="32" t="n">
        <f aca="false">M11+G12+J12-IF(MONTH(C12)=12,Apps!D84,0)</f>
        <v>3957758.33333333</v>
      </c>
      <c r="N12" s="32" t="n">
        <f aca="false">MAX(0,-MIN(K12:M12))</f>
        <v>0</v>
      </c>
    </row>
    <row r="13" customFormat="false" ht="28.5" hidden="false" customHeight="true" outlineLevel="0" collapsed="false">
      <c r="C13" s="45" t="n">
        <v>46600</v>
      </c>
      <c r="D13" s="33" t="n">
        <v>2027</v>
      </c>
      <c r="E13" s="33" t="n">
        <f aca="false">Apps!D33/12</f>
        <v>-30470</v>
      </c>
      <c r="F13" s="33" t="n">
        <f aca="false">Apps!D57/12</f>
        <v>-42300</v>
      </c>
      <c r="G13" s="33" t="n">
        <f aca="false">Apps!D81/12</f>
        <v>-148891.666666667</v>
      </c>
      <c r="H13" s="33" t="n">
        <f aca="false">SUMIFS(Funding!$E$6:$E$8,Funding!$C$6:$C$8,"&gt;="&amp;C13,Funding!$C$6:$C$8,"&lt;"&amp;EDATE(C13,1))</f>
        <v>0</v>
      </c>
      <c r="I13" s="33" t="n">
        <f aca="false">SUMIFS(Funding!$F$6:$F$8,Funding!$C$6:$C$8,"&gt;="&amp;C13,Funding!$C$6:$C$8,"&lt;"&amp;EDATE(C13,1))</f>
        <v>0</v>
      </c>
      <c r="J13" s="33" t="n">
        <f aca="false">SUMIFS(Funding!$G$6:$G$8,Funding!$C$6:$C$8,"&gt;="&amp;C13,Funding!$C$6:$C$8,"&lt;"&amp;EDATE(C13,1))</f>
        <v>0</v>
      </c>
      <c r="K13" s="33" t="n">
        <f aca="false">K12+E13+H13-IF(MONTH(C13)=12,Apps!D36,0)</f>
        <v>1136240</v>
      </c>
      <c r="L13" s="33" t="n">
        <f aca="false">L12+F13+I13-IF(MONTH(C13)=12,Apps!D60,0)</f>
        <v>951600</v>
      </c>
      <c r="M13" s="33" t="n">
        <f aca="false">M12+G13+J13-IF(MONTH(C13)=12,Apps!D84,0)</f>
        <v>3808866.66666667</v>
      </c>
      <c r="N13" s="33" t="n">
        <f aca="false">MAX(0,-MIN(K13:M13))</f>
        <v>0</v>
      </c>
    </row>
    <row r="14" customFormat="false" ht="28.5" hidden="false" customHeight="true" outlineLevel="0" collapsed="false">
      <c r="C14" s="44" t="n">
        <v>46631</v>
      </c>
      <c r="D14" s="32" t="n">
        <v>2027</v>
      </c>
      <c r="E14" s="32" t="n">
        <f aca="false">Apps!D33/12</f>
        <v>-30470</v>
      </c>
      <c r="F14" s="32" t="n">
        <f aca="false">Apps!D57/12</f>
        <v>-42300</v>
      </c>
      <c r="G14" s="32" t="n">
        <f aca="false">Apps!D81/12</f>
        <v>-148891.666666667</v>
      </c>
      <c r="H14" s="32" t="n">
        <f aca="false">SUMIFS(Funding!$E$6:$E$8,Funding!$C$6:$C$8,"&gt;="&amp;C14,Funding!$C$6:$C$8,"&lt;"&amp;EDATE(C14,1))</f>
        <v>0</v>
      </c>
      <c r="I14" s="32" t="n">
        <f aca="false">SUMIFS(Funding!$F$6:$F$8,Funding!$C$6:$C$8,"&gt;="&amp;C14,Funding!$C$6:$C$8,"&lt;"&amp;EDATE(C14,1))</f>
        <v>0</v>
      </c>
      <c r="J14" s="32" t="n">
        <f aca="false">SUMIFS(Funding!$G$6:$G$8,Funding!$C$6:$C$8,"&gt;="&amp;C14,Funding!$C$6:$C$8,"&lt;"&amp;EDATE(C14,1))</f>
        <v>0</v>
      </c>
      <c r="K14" s="32" t="n">
        <f aca="false">K13+E14+H14-IF(MONTH(C14)=12,Apps!D36,0)</f>
        <v>1105770</v>
      </c>
      <c r="L14" s="32" t="n">
        <f aca="false">L13+F14+I14-IF(MONTH(C14)=12,Apps!D60,0)</f>
        <v>909300</v>
      </c>
      <c r="M14" s="32" t="n">
        <f aca="false">M13+G14+J14-IF(MONTH(C14)=12,Apps!D84,0)</f>
        <v>3659975</v>
      </c>
      <c r="N14" s="32" t="n">
        <f aca="false">MAX(0,-MIN(K14:M14))</f>
        <v>0</v>
      </c>
    </row>
    <row r="15" customFormat="false" ht="28.5" hidden="false" customHeight="true" outlineLevel="0" collapsed="false">
      <c r="C15" s="45" t="n">
        <v>46661</v>
      </c>
      <c r="D15" s="33" t="n">
        <v>2027</v>
      </c>
      <c r="E15" s="33" t="n">
        <f aca="false">Apps!D33/12</f>
        <v>-30470</v>
      </c>
      <c r="F15" s="33" t="n">
        <f aca="false">Apps!D57/12</f>
        <v>-42300</v>
      </c>
      <c r="G15" s="33" t="n">
        <f aca="false">Apps!D81/12</f>
        <v>-148891.666666667</v>
      </c>
      <c r="H15" s="33" t="n">
        <f aca="false">SUMIFS(Funding!$E$6:$E$8,Funding!$C$6:$C$8,"&gt;="&amp;C15,Funding!$C$6:$C$8,"&lt;"&amp;EDATE(C15,1))</f>
        <v>0</v>
      </c>
      <c r="I15" s="33" t="n">
        <f aca="false">SUMIFS(Funding!$F$6:$F$8,Funding!$C$6:$C$8,"&gt;="&amp;C15,Funding!$C$6:$C$8,"&lt;"&amp;EDATE(C15,1))</f>
        <v>0</v>
      </c>
      <c r="J15" s="33" t="n">
        <f aca="false">SUMIFS(Funding!$G$6:$G$8,Funding!$C$6:$C$8,"&gt;="&amp;C15,Funding!$C$6:$C$8,"&lt;"&amp;EDATE(C15,1))</f>
        <v>0</v>
      </c>
      <c r="K15" s="33" t="n">
        <f aca="false">K14+E15+H15-IF(MONTH(C15)=12,Apps!D36,0)</f>
        <v>1075300</v>
      </c>
      <c r="L15" s="33" t="n">
        <f aca="false">L14+F15+I15-IF(MONTH(C15)=12,Apps!D60,0)</f>
        <v>867000</v>
      </c>
      <c r="M15" s="33" t="n">
        <f aca="false">M14+G15+J15-IF(MONTH(C15)=12,Apps!D84,0)</f>
        <v>3511083.33333333</v>
      </c>
      <c r="N15" s="33" t="n">
        <f aca="false">MAX(0,-MIN(K15:M15))</f>
        <v>0</v>
      </c>
    </row>
    <row r="16" customFormat="false" ht="28.5" hidden="false" customHeight="true" outlineLevel="0" collapsed="false">
      <c r="C16" s="44" t="n">
        <v>46692</v>
      </c>
      <c r="D16" s="32" t="n">
        <v>2027</v>
      </c>
      <c r="E16" s="32" t="n">
        <f aca="false">Apps!D33/12</f>
        <v>-30470</v>
      </c>
      <c r="F16" s="32" t="n">
        <f aca="false">Apps!D57/12</f>
        <v>-42300</v>
      </c>
      <c r="G16" s="32" t="n">
        <f aca="false">Apps!D81/12</f>
        <v>-148891.666666667</v>
      </c>
      <c r="H16" s="32" t="n">
        <f aca="false">SUMIFS(Funding!$E$6:$E$8,Funding!$C$6:$C$8,"&gt;="&amp;C16,Funding!$C$6:$C$8,"&lt;"&amp;EDATE(C16,1))</f>
        <v>0</v>
      </c>
      <c r="I16" s="32" t="n">
        <f aca="false">SUMIFS(Funding!$F$6:$F$8,Funding!$C$6:$C$8,"&gt;="&amp;C16,Funding!$C$6:$C$8,"&lt;"&amp;EDATE(C16,1))</f>
        <v>0</v>
      </c>
      <c r="J16" s="32" t="n">
        <f aca="false">SUMIFS(Funding!$G$6:$G$8,Funding!$C$6:$C$8,"&gt;="&amp;C16,Funding!$C$6:$C$8,"&lt;"&amp;EDATE(C16,1))</f>
        <v>0</v>
      </c>
      <c r="K16" s="32" t="n">
        <f aca="false">K15+E16+H16-IF(MONTH(C16)=12,Apps!D36,0)</f>
        <v>1044830</v>
      </c>
      <c r="L16" s="32" t="n">
        <f aca="false">L15+F16+I16-IF(MONTH(C16)=12,Apps!D60,0)</f>
        <v>824700</v>
      </c>
      <c r="M16" s="32" t="n">
        <f aca="false">M15+G16+J16-IF(MONTH(C16)=12,Apps!D84,0)</f>
        <v>3362191.66666667</v>
      </c>
      <c r="N16" s="32" t="n">
        <f aca="false">MAX(0,-MIN(K16:M16))</f>
        <v>0</v>
      </c>
    </row>
    <row r="17" customFormat="false" ht="28.5" hidden="false" customHeight="true" outlineLevel="0" collapsed="false">
      <c r="C17" s="45" t="n">
        <v>46722</v>
      </c>
      <c r="D17" s="33" t="n">
        <v>2027</v>
      </c>
      <c r="E17" s="33" t="n">
        <f aca="false">Apps!D33/12</f>
        <v>-30470</v>
      </c>
      <c r="F17" s="33" t="n">
        <f aca="false">Apps!D57/12</f>
        <v>-42300</v>
      </c>
      <c r="G17" s="33" t="n">
        <f aca="false">Apps!D81/12</f>
        <v>-148891.666666667</v>
      </c>
      <c r="H17" s="33" t="n">
        <f aca="false">SUMIFS(Funding!$E$6:$E$8,Funding!$C$6:$C$8,"&gt;="&amp;C17,Funding!$C$6:$C$8,"&lt;"&amp;EDATE(C17,1))</f>
        <v>0</v>
      </c>
      <c r="I17" s="33" t="n">
        <f aca="false">SUMIFS(Funding!$F$6:$F$8,Funding!$C$6:$C$8,"&gt;="&amp;C17,Funding!$C$6:$C$8,"&lt;"&amp;EDATE(C17,1))</f>
        <v>0</v>
      </c>
      <c r="J17" s="33" t="n">
        <f aca="false">SUMIFS(Funding!$G$6:$G$8,Funding!$C$6:$C$8,"&gt;="&amp;C17,Funding!$C$6:$C$8,"&lt;"&amp;EDATE(C17,1))</f>
        <v>0</v>
      </c>
      <c r="K17" s="33" t="n">
        <f aca="false">K16+E17+H17-IF(MONTH(C17)=12,Apps!D36,0)</f>
        <v>1014360</v>
      </c>
      <c r="L17" s="33" t="n">
        <f aca="false">L16+F17+I17-IF(MONTH(C17)=12,Apps!D60,0)</f>
        <v>782400</v>
      </c>
      <c r="M17" s="33" t="n">
        <f aca="false">M16+G17+J17-IF(MONTH(C17)=12,Apps!D84,0)</f>
        <v>3213300</v>
      </c>
      <c r="N17" s="33" t="n">
        <f aca="false">MAX(0,-MIN(K17:M17))</f>
        <v>0</v>
      </c>
    </row>
    <row r="18" customFormat="false" ht="28.5" hidden="false" customHeight="true" outlineLevel="0" collapsed="false">
      <c r="C18" s="44" t="n">
        <v>46753</v>
      </c>
      <c r="D18" s="32" t="n">
        <v>2028</v>
      </c>
      <c r="E18" s="32" t="n">
        <f aca="false">Apps!E33/12</f>
        <v>31143.3333333333</v>
      </c>
      <c r="F18" s="32" t="n">
        <f aca="false">Apps!E57/12</f>
        <v>44350</v>
      </c>
      <c r="G18" s="32" t="n">
        <f aca="false">Apps!E81/12</f>
        <v>73308.3333333333</v>
      </c>
      <c r="H18" s="32" t="n">
        <f aca="false">SUMIFS(Funding!$E$6:$E$8,Funding!$C$6:$C$8,"&gt;="&amp;C18,Funding!$C$6:$C$8,"&lt;"&amp;EDATE(C18,1))</f>
        <v>0</v>
      </c>
      <c r="I18" s="32" t="n">
        <f aca="false">SUMIFS(Funding!$F$6:$F$8,Funding!$C$6:$C$8,"&gt;="&amp;C18,Funding!$C$6:$C$8,"&lt;"&amp;EDATE(C18,1))</f>
        <v>0</v>
      </c>
      <c r="J18" s="32" t="n">
        <f aca="false">SUMIFS(Funding!$G$6:$G$8,Funding!$C$6:$C$8,"&gt;="&amp;C18,Funding!$C$6:$C$8,"&lt;"&amp;EDATE(C18,1))</f>
        <v>0</v>
      </c>
      <c r="K18" s="32" t="n">
        <f aca="false">K17+E18+H18-IF(MONTH(C18)=12,Apps!E36,0)</f>
        <v>1045503.33333333</v>
      </c>
      <c r="L18" s="32" t="n">
        <f aca="false">L17+F18+I18-IF(MONTH(C18)=12,Apps!E60,0)</f>
        <v>826750</v>
      </c>
      <c r="M18" s="32" t="n">
        <f aca="false">M17+G18+J18-IF(MONTH(C18)=12,Apps!E84,0)</f>
        <v>3286608.33333334</v>
      </c>
      <c r="N18" s="32" t="n">
        <f aca="false">MAX(0,-MIN(K18:M18))</f>
        <v>0</v>
      </c>
    </row>
    <row r="19" customFormat="false" ht="28.5" hidden="false" customHeight="true" outlineLevel="0" collapsed="false">
      <c r="C19" s="45" t="n">
        <v>46784</v>
      </c>
      <c r="D19" s="33" t="n">
        <v>2028</v>
      </c>
      <c r="E19" s="33" t="n">
        <f aca="false">Apps!E33/12</f>
        <v>31143.3333333333</v>
      </c>
      <c r="F19" s="33" t="n">
        <f aca="false">Apps!E57/12</f>
        <v>44350</v>
      </c>
      <c r="G19" s="33" t="n">
        <f aca="false">Apps!E81/12</f>
        <v>73308.3333333333</v>
      </c>
      <c r="H19" s="33" t="n">
        <f aca="false">SUMIFS(Funding!$E$6:$E$8,Funding!$C$6:$C$8,"&gt;="&amp;C19,Funding!$C$6:$C$8,"&lt;"&amp;EDATE(C19,1))</f>
        <v>0</v>
      </c>
      <c r="I19" s="33" t="n">
        <f aca="false">SUMIFS(Funding!$F$6:$F$8,Funding!$C$6:$C$8,"&gt;="&amp;C19,Funding!$C$6:$C$8,"&lt;"&amp;EDATE(C19,1))</f>
        <v>0</v>
      </c>
      <c r="J19" s="33" t="n">
        <f aca="false">SUMIFS(Funding!$G$6:$G$8,Funding!$C$6:$C$8,"&gt;="&amp;C19,Funding!$C$6:$C$8,"&lt;"&amp;EDATE(C19,1))</f>
        <v>0</v>
      </c>
      <c r="K19" s="33" t="n">
        <f aca="false">K18+E19+H19-IF(MONTH(C19)=12,Apps!E36,0)</f>
        <v>1076646.66666667</v>
      </c>
      <c r="L19" s="33" t="n">
        <f aca="false">L18+F19+I19-IF(MONTH(C19)=12,Apps!E60,0)</f>
        <v>871100</v>
      </c>
      <c r="M19" s="33" t="n">
        <f aca="false">M18+G19+J19-IF(MONTH(C19)=12,Apps!E84,0)</f>
        <v>3359916.66666667</v>
      </c>
      <c r="N19" s="33" t="n">
        <f aca="false">MAX(0,-MIN(K19:M19))</f>
        <v>0</v>
      </c>
    </row>
    <row r="20" customFormat="false" ht="28.5" hidden="false" customHeight="true" outlineLevel="0" collapsed="false">
      <c r="C20" s="44" t="n">
        <v>46813</v>
      </c>
      <c r="D20" s="32" t="n">
        <v>2028</v>
      </c>
      <c r="E20" s="32" t="n">
        <f aca="false">Apps!E33/12</f>
        <v>31143.3333333333</v>
      </c>
      <c r="F20" s="32" t="n">
        <f aca="false">Apps!E57/12</f>
        <v>44350</v>
      </c>
      <c r="G20" s="32" t="n">
        <f aca="false">Apps!E81/12</f>
        <v>73308.3333333333</v>
      </c>
      <c r="H20" s="32" t="n">
        <f aca="false">SUMIFS(Funding!$E$6:$E$8,Funding!$C$6:$C$8,"&gt;="&amp;C20,Funding!$C$6:$C$8,"&lt;"&amp;EDATE(C20,1))</f>
        <v>0</v>
      </c>
      <c r="I20" s="32" t="n">
        <f aca="false">SUMIFS(Funding!$F$6:$F$8,Funding!$C$6:$C$8,"&gt;="&amp;C20,Funding!$C$6:$C$8,"&lt;"&amp;EDATE(C20,1))</f>
        <v>0</v>
      </c>
      <c r="J20" s="32" t="n">
        <f aca="false">SUMIFS(Funding!$G$6:$G$8,Funding!$C$6:$C$8,"&gt;="&amp;C20,Funding!$C$6:$C$8,"&lt;"&amp;EDATE(C20,1))</f>
        <v>0</v>
      </c>
      <c r="K20" s="32" t="n">
        <f aca="false">K19+E20+H20-IF(MONTH(C20)=12,Apps!E36,0)</f>
        <v>1107790</v>
      </c>
      <c r="L20" s="32" t="n">
        <f aca="false">L19+F20+I20-IF(MONTH(C20)=12,Apps!E60,0)</f>
        <v>915450</v>
      </c>
      <c r="M20" s="32" t="n">
        <f aca="false">M19+G20+J20-IF(MONTH(C20)=12,Apps!E84,0)</f>
        <v>3433225</v>
      </c>
      <c r="N20" s="32" t="n">
        <f aca="false">MAX(0,-MIN(K20:M20))</f>
        <v>0</v>
      </c>
    </row>
    <row r="21" customFormat="false" ht="28.5" hidden="false" customHeight="true" outlineLevel="0" collapsed="false">
      <c r="C21" s="45" t="n">
        <v>46844</v>
      </c>
      <c r="D21" s="33" t="n">
        <v>2028</v>
      </c>
      <c r="E21" s="33" t="n">
        <f aca="false">Apps!E33/12</f>
        <v>31143.3333333333</v>
      </c>
      <c r="F21" s="33" t="n">
        <f aca="false">Apps!E57/12</f>
        <v>44350</v>
      </c>
      <c r="G21" s="33" t="n">
        <f aca="false">Apps!E81/12</f>
        <v>73308.3333333333</v>
      </c>
      <c r="H21" s="33" t="n">
        <f aca="false">SUMIFS(Funding!$E$6:$E$8,Funding!$C$6:$C$8,"&gt;="&amp;C21,Funding!$C$6:$C$8,"&lt;"&amp;EDATE(C21,1))</f>
        <v>0</v>
      </c>
      <c r="I21" s="33" t="n">
        <f aca="false">SUMIFS(Funding!$F$6:$F$8,Funding!$C$6:$C$8,"&gt;="&amp;C21,Funding!$C$6:$C$8,"&lt;"&amp;EDATE(C21,1))</f>
        <v>0</v>
      </c>
      <c r="J21" s="33" t="n">
        <f aca="false">SUMIFS(Funding!$G$6:$G$8,Funding!$C$6:$C$8,"&gt;="&amp;C21,Funding!$C$6:$C$8,"&lt;"&amp;EDATE(C21,1))</f>
        <v>0</v>
      </c>
      <c r="K21" s="33" t="n">
        <f aca="false">K20+E21+H21-IF(MONTH(C21)=12,Apps!E36,0)</f>
        <v>1138933.33333333</v>
      </c>
      <c r="L21" s="33" t="n">
        <f aca="false">L20+F21+I21-IF(MONTH(C21)=12,Apps!E60,0)</f>
        <v>959800</v>
      </c>
      <c r="M21" s="33" t="n">
        <f aca="false">M20+G21+J21-IF(MONTH(C21)=12,Apps!E84,0)</f>
        <v>3506533.33333334</v>
      </c>
      <c r="N21" s="33" t="n">
        <f aca="false">MAX(0,-MIN(K21:M21))</f>
        <v>0</v>
      </c>
    </row>
    <row r="22" customFormat="false" ht="28.5" hidden="false" customHeight="true" outlineLevel="0" collapsed="false">
      <c r="C22" s="44" t="n">
        <v>46874</v>
      </c>
      <c r="D22" s="32" t="n">
        <v>2028</v>
      </c>
      <c r="E22" s="32" t="n">
        <f aca="false">Apps!E33/12</f>
        <v>31143.3333333333</v>
      </c>
      <c r="F22" s="32" t="n">
        <f aca="false">Apps!E57/12</f>
        <v>44350</v>
      </c>
      <c r="G22" s="32" t="n">
        <f aca="false">Apps!E81/12</f>
        <v>73308.3333333333</v>
      </c>
      <c r="H22" s="32" t="n">
        <f aca="false">SUMIFS(Funding!$E$6:$E$8,Funding!$C$6:$C$8,"&gt;="&amp;C22,Funding!$C$6:$C$8,"&lt;"&amp;EDATE(C22,1))</f>
        <v>0</v>
      </c>
      <c r="I22" s="32" t="n">
        <f aca="false">SUMIFS(Funding!$F$6:$F$8,Funding!$C$6:$C$8,"&gt;="&amp;C22,Funding!$C$6:$C$8,"&lt;"&amp;EDATE(C22,1))</f>
        <v>0</v>
      </c>
      <c r="J22" s="32" t="n">
        <f aca="false">SUMIFS(Funding!$G$6:$G$8,Funding!$C$6:$C$8,"&gt;="&amp;C22,Funding!$C$6:$C$8,"&lt;"&amp;EDATE(C22,1))</f>
        <v>0</v>
      </c>
      <c r="K22" s="32" t="n">
        <f aca="false">K21+E22+H22-IF(MONTH(C22)=12,Apps!E36,0)</f>
        <v>1170076.66666667</v>
      </c>
      <c r="L22" s="32" t="n">
        <f aca="false">L21+F22+I22-IF(MONTH(C22)=12,Apps!E60,0)</f>
        <v>1004150</v>
      </c>
      <c r="M22" s="32" t="n">
        <f aca="false">M21+G22+J22-IF(MONTH(C22)=12,Apps!E84,0)</f>
        <v>3579841.66666667</v>
      </c>
      <c r="N22" s="32" t="n">
        <f aca="false">MAX(0,-MIN(K22:M22))</f>
        <v>0</v>
      </c>
    </row>
    <row r="23" customFormat="false" ht="28.5" hidden="false" customHeight="true" outlineLevel="0" collapsed="false">
      <c r="C23" s="45" t="n">
        <v>46905</v>
      </c>
      <c r="D23" s="33" t="n">
        <v>2028</v>
      </c>
      <c r="E23" s="33" t="n">
        <f aca="false">Apps!E33/12</f>
        <v>31143.3333333333</v>
      </c>
      <c r="F23" s="33" t="n">
        <f aca="false">Apps!E57/12</f>
        <v>44350</v>
      </c>
      <c r="G23" s="33" t="n">
        <f aca="false">Apps!E81/12</f>
        <v>73308.3333333333</v>
      </c>
      <c r="H23" s="33" t="n">
        <f aca="false">SUMIFS(Funding!$E$6:$E$8,Funding!$C$6:$C$8,"&gt;="&amp;C23,Funding!$C$6:$C$8,"&lt;"&amp;EDATE(C23,1))</f>
        <v>0</v>
      </c>
      <c r="I23" s="33" t="n">
        <f aca="false">SUMIFS(Funding!$F$6:$F$8,Funding!$C$6:$C$8,"&gt;="&amp;C23,Funding!$C$6:$C$8,"&lt;"&amp;EDATE(C23,1))</f>
        <v>0</v>
      </c>
      <c r="J23" s="33" t="n">
        <f aca="false">SUMIFS(Funding!$G$6:$G$8,Funding!$C$6:$C$8,"&gt;="&amp;C23,Funding!$C$6:$C$8,"&lt;"&amp;EDATE(C23,1))</f>
        <v>0</v>
      </c>
      <c r="K23" s="33" t="n">
        <f aca="false">K22+E23+H23-IF(MONTH(C23)=12,Apps!E36,0)</f>
        <v>1201220</v>
      </c>
      <c r="L23" s="33" t="n">
        <f aca="false">L22+F23+I23-IF(MONTH(C23)=12,Apps!E60,0)</f>
        <v>1048500</v>
      </c>
      <c r="M23" s="33" t="n">
        <f aca="false">M22+G23+J23-IF(MONTH(C23)=12,Apps!E84,0)</f>
        <v>3653150</v>
      </c>
      <c r="N23" s="33" t="n">
        <f aca="false">MAX(0,-MIN(K23:M23))</f>
        <v>0</v>
      </c>
    </row>
    <row r="24" customFormat="false" ht="28.5" hidden="false" customHeight="true" outlineLevel="0" collapsed="false">
      <c r="C24" s="44" t="n">
        <v>46935</v>
      </c>
      <c r="D24" s="32" t="n">
        <v>2028</v>
      </c>
      <c r="E24" s="32" t="n">
        <f aca="false">Apps!E33/12</f>
        <v>31143.3333333333</v>
      </c>
      <c r="F24" s="32" t="n">
        <f aca="false">Apps!E57/12</f>
        <v>44350</v>
      </c>
      <c r="G24" s="32" t="n">
        <f aca="false">Apps!E81/12</f>
        <v>73308.3333333333</v>
      </c>
      <c r="H24" s="32" t="n">
        <f aca="false">SUMIFS(Funding!$E$6:$E$8,Funding!$C$6:$C$8,"&gt;="&amp;C24,Funding!$C$6:$C$8,"&lt;"&amp;EDATE(C24,1))</f>
        <v>0</v>
      </c>
      <c r="I24" s="32" t="n">
        <f aca="false">SUMIFS(Funding!$F$6:$F$8,Funding!$C$6:$C$8,"&gt;="&amp;C24,Funding!$C$6:$C$8,"&lt;"&amp;EDATE(C24,1))</f>
        <v>0</v>
      </c>
      <c r="J24" s="32" t="n">
        <f aca="false">SUMIFS(Funding!$G$6:$G$8,Funding!$C$6:$C$8,"&gt;="&amp;C24,Funding!$C$6:$C$8,"&lt;"&amp;EDATE(C24,1))</f>
        <v>0</v>
      </c>
      <c r="K24" s="32" t="n">
        <f aca="false">K23+E24+H24-IF(MONTH(C24)=12,Apps!E36,0)</f>
        <v>1232363.33333333</v>
      </c>
      <c r="L24" s="32" t="n">
        <f aca="false">L23+F24+I24-IF(MONTH(C24)=12,Apps!E60,0)</f>
        <v>1092850</v>
      </c>
      <c r="M24" s="32" t="n">
        <f aca="false">M23+G24+J24-IF(MONTH(C24)=12,Apps!E84,0)</f>
        <v>3726458.33333334</v>
      </c>
      <c r="N24" s="32" t="n">
        <f aca="false">MAX(0,-MIN(K24:M24))</f>
        <v>0</v>
      </c>
    </row>
    <row r="25" customFormat="false" ht="28.5" hidden="false" customHeight="true" outlineLevel="0" collapsed="false">
      <c r="C25" s="45" t="n">
        <v>46966</v>
      </c>
      <c r="D25" s="33" t="n">
        <v>2028</v>
      </c>
      <c r="E25" s="33" t="n">
        <f aca="false">Apps!E33/12</f>
        <v>31143.3333333333</v>
      </c>
      <c r="F25" s="33" t="n">
        <f aca="false">Apps!E57/12</f>
        <v>44350</v>
      </c>
      <c r="G25" s="33" t="n">
        <f aca="false">Apps!E81/12</f>
        <v>73308.3333333333</v>
      </c>
      <c r="H25" s="33" t="n">
        <f aca="false">SUMIFS(Funding!$E$6:$E$8,Funding!$C$6:$C$8,"&gt;="&amp;C25,Funding!$C$6:$C$8,"&lt;"&amp;EDATE(C25,1))</f>
        <v>0</v>
      </c>
      <c r="I25" s="33" t="n">
        <f aca="false">SUMIFS(Funding!$F$6:$F$8,Funding!$C$6:$C$8,"&gt;="&amp;C25,Funding!$C$6:$C$8,"&lt;"&amp;EDATE(C25,1))</f>
        <v>0</v>
      </c>
      <c r="J25" s="33" t="n">
        <f aca="false">SUMIFS(Funding!$G$6:$G$8,Funding!$C$6:$C$8,"&gt;="&amp;C25,Funding!$C$6:$C$8,"&lt;"&amp;EDATE(C25,1))</f>
        <v>0</v>
      </c>
      <c r="K25" s="33" t="n">
        <f aca="false">K24+E25+H25-IF(MONTH(C25)=12,Apps!E36,0)</f>
        <v>1263506.66666667</v>
      </c>
      <c r="L25" s="33" t="n">
        <f aca="false">L24+F25+I25-IF(MONTH(C25)=12,Apps!E60,0)</f>
        <v>1137200</v>
      </c>
      <c r="M25" s="33" t="n">
        <f aca="false">M24+G25+J25-IF(MONTH(C25)=12,Apps!E84,0)</f>
        <v>3799766.66666667</v>
      </c>
      <c r="N25" s="33" t="n">
        <f aca="false">MAX(0,-MIN(K25:M25))</f>
        <v>0</v>
      </c>
    </row>
    <row r="26" customFormat="false" ht="28.5" hidden="false" customHeight="true" outlineLevel="0" collapsed="false">
      <c r="C26" s="44" t="n">
        <v>46997</v>
      </c>
      <c r="D26" s="32" t="n">
        <v>2028</v>
      </c>
      <c r="E26" s="32" t="n">
        <f aca="false">Apps!E33/12</f>
        <v>31143.3333333333</v>
      </c>
      <c r="F26" s="32" t="n">
        <f aca="false">Apps!E57/12</f>
        <v>44350</v>
      </c>
      <c r="G26" s="32" t="n">
        <f aca="false">Apps!E81/12</f>
        <v>73308.3333333333</v>
      </c>
      <c r="H26" s="32" t="n">
        <f aca="false">SUMIFS(Funding!$E$6:$E$8,Funding!$C$6:$C$8,"&gt;="&amp;C26,Funding!$C$6:$C$8,"&lt;"&amp;EDATE(C26,1))</f>
        <v>0</v>
      </c>
      <c r="I26" s="32" t="n">
        <f aca="false">SUMIFS(Funding!$F$6:$F$8,Funding!$C$6:$C$8,"&gt;="&amp;C26,Funding!$C$6:$C$8,"&lt;"&amp;EDATE(C26,1))</f>
        <v>0</v>
      </c>
      <c r="J26" s="32" t="n">
        <f aca="false">SUMIFS(Funding!$G$6:$G$8,Funding!$C$6:$C$8,"&gt;="&amp;C26,Funding!$C$6:$C$8,"&lt;"&amp;EDATE(C26,1))</f>
        <v>0</v>
      </c>
      <c r="K26" s="32" t="n">
        <f aca="false">K25+E26+H26-IF(MONTH(C26)=12,Apps!E36,0)</f>
        <v>1294650</v>
      </c>
      <c r="L26" s="32" t="n">
        <f aca="false">L25+F26+I26-IF(MONTH(C26)=12,Apps!E60,0)</f>
        <v>1181550</v>
      </c>
      <c r="M26" s="32" t="n">
        <f aca="false">M25+G26+J26-IF(MONTH(C26)=12,Apps!E84,0)</f>
        <v>3873075</v>
      </c>
      <c r="N26" s="32" t="n">
        <f aca="false">MAX(0,-MIN(K26:M26))</f>
        <v>0</v>
      </c>
    </row>
    <row r="27" customFormat="false" ht="28.5" hidden="false" customHeight="true" outlineLevel="0" collapsed="false">
      <c r="C27" s="45" t="n">
        <v>47027</v>
      </c>
      <c r="D27" s="33" t="n">
        <v>2028</v>
      </c>
      <c r="E27" s="33" t="n">
        <f aca="false">Apps!E33/12</f>
        <v>31143.3333333333</v>
      </c>
      <c r="F27" s="33" t="n">
        <f aca="false">Apps!E57/12</f>
        <v>44350</v>
      </c>
      <c r="G27" s="33" t="n">
        <f aca="false">Apps!E81/12</f>
        <v>73308.3333333333</v>
      </c>
      <c r="H27" s="33" t="n">
        <f aca="false">SUMIFS(Funding!$E$6:$E$8,Funding!$C$6:$C$8,"&gt;="&amp;C27,Funding!$C$6:$C$8,"&lt;"&amp;EDATE(C27,1))</f>
        <v>0</v>
      </c>
      <c r="I27" s="33" t="n">
        <f aca="false">SUMIFS(Funding!$F$6:$F$8,Funding!$C$6:$C$8,"&gt;="&amp;C27,Funding!$C$6:$C$8,"&lt;"&amp;EDATE(C27,1))</f>
        <v>0</v>
      </c>
      <c r="J27" s="33" t="n">
        <f aca="false">SUMIFS(Funding!$G$6:$G$8,Funding!$C$6:$C$8,"&gt;="&amp;C27,Funding!$C$6:$C$8,"&lt;"&amp;EDATE(C27,1))</f>
        <v>0</v>
      </c>
      <c r="K27" s="33" t="n">
        <f aca="false">K26+E27+H27-IF(MONTH(C27)=12,Apps!E36,0)</f>
        <v>1325793.33333333</v>
      </c>
      <c r="L27" s="33" t="n">
        <f aca="false">L26+F27+I27-IF(MONTH(C27)=12,Apps!E60,0)</f>
        <v>1225900</v>
      </c>
      <c r="M27" s="33" t="n">
        <f aca="false">M26+G27+J27-IF(MONTH(C27)=12,Apps!E84,0)</f>
        <v>3946383.33333334</v>
      </c>
      <c r="N27" s="33" t="n">
        <f aca="false">MAX(0,-MIN(K27:M27))</f>
        <v>0</v>
      </c>
    </row>
    <row r="28" customFormat="false" ht="28.5" hidden="false" customHeight="true" outlineLevel="0" collapsed="false">
      <c r="C28" s="44" t="n">
        <v>47058</v>
      </c>
      <c r="D28" s="32" t="n">
        <v>2028</v>
      </c>
      <c r="E28" s="32" t="n">
        <f aca="false">Apps!E33/12</f>
        <v>31143.3333333333</v>
      </c>
      <c r="F28" s="32" t="n">
        <f aca="false">Apps!E57/12</f>
        <v>44350</v>
      </c>
      <c r="G28" s="32" t="n">
        <f aca="false">Apps!E81/12</f>
        <v>73308.3333333333</v>
      </c>
      <c r="H28" s="32" t="n">
        <f aca="false">SUMIFS(Funding!$E$6:$E$8,Funding!$C$6:$C$8,"&gt;="&amp;C28,Funding!$C$6:$C$8,"&lt;"&amp;EDATE(C28,1))</f>
        <v>0</v>
      </c>
      <c r="I28" s="32" t="n">
        <f aca="false">SUMIFS(Funding!$F$6:$F$8,Funding!$C$6:$C$8,"&gt;="&amp;C28,Funding!$C$6:$C$8,"&lt;"&amp;EDATE(C28,1))</f>
        <v>0</v>
      </c>
      <c r="J28" s="32" t="n">
        <f aca="false">SUMIFS(Funding!$G$6:$G$8,Funding!$C$6:$C$8,"&gt;="&amp;C28,Funding!$C$6:$C$8,"&lt;"&amp;EDATE(C28,1))</f>
        <v>0</v>
      </c>
      <c r="K28" s="32" t="n">
        <f aca="false">K27+E28+H28-IF(MONTH(C28)=12,Apps!E36,0)</f>
        <v>1356936.66666667</v>
      </c>
      <c r="L28" s="32" t="n">
        <f aca="false">L27+F28+I28-IF(MONTH(C28)=12,Apps!E60,0)</f>
        <v>1270250</v>
      </c>
      <c r="M28" s="32" t="n">
        <f aca="false">M27+G28+J28-IF(MONTH(C28)=12,Apps!E84,0)</f>
        <v>4019691.66666667</v>
      </c>
      <c r="N28" s="32" t="n">
        <f aca="false">MAX(0,-MIN(K28:M28))</f>
        <v>0</v>
      </c>
    </row>
    <row r="29" customFormat="false" ht="28.5" hidden="false" customHeight="true" outlineLevel="0" collapsed="false">
      <c r="C29" s="45" t="n">
        <v>47088</v>
      </c>
      <c r="D29" s="33" t="n">
        <v>2028</v>
      </c>
      <c r="E29" s="33" t="n">
        <f aca="false">Apps!E33/12</f>
        <v>31143.3333333333</v>
      </c>
      <c r="F29" s="33" t="n">
        <f aca="false">Apps!E57/12</f>
        <v>44350</v>
      </c>
      <c r="G29" s="33" t="n">
        <f aca="false">Apps!E81/12</f>
        <v>73308.3333333333</v>
      </c>
      <c r="H29" s="33" t="n">
        <f aca="false">SUMIFS(Funding!$E$6:$E$8,Funding!$C$6:$C$8,"&gt;="&amp;C29,Funding!$C$6:$C$8,"&lt;"&amp;EDATE(C29,1))</f>
        <v>0</v>
      </c>
      <c r="I29" s="33" t="n">
        <f aca="false">SUMIFS(Funding!$F$6:$F$8,Funding!$C$6:$C$8,"&gt;="&amp;C29,Funding!$C$6:$C$8,"&lt;"&amp;EDATE(C29,1))</f>
        <v>0</v>
      </c>
      <c r="J29" s="33" t="n">
        <f aca="false">SUMIFS(Funding!$G$6:$G$8,Funding!$C$6:$C$8,"&gt;="&amp;C29,Funding!$C$6:$C$8,"&lt;"&amp;EDATE(C29,1))</f>
        <v>0</v>
      </c>
      <c r="K29" s="33" t="n">
        <f aca="false">K28+E29+H29-IF(MONTH(C29)=12,Apps!E36,0)</f>
        <v>1165420</v>
      </c>
      <c r="L29" s="33" t="n">
        <f aca="false">L28+F29+I29-IF(MONTH(C29)=12,Apps!E60,0)</f>
        <v>1027500</v>
      </c>
      <c r="M29" s="33" t="n">
        <f aca="false">M28+G29+J29-IF(MONTH(C29)=12,Apps!E84,0)</f>
        <v>3601150</v>
      </c>
      <c r="N29" s="33" t="n">
        <f aca="false">MAX(0,-MIN(K29:M29))</f>
        <v>0</v>
      </c>
    </row>
    <row r="30" customFormat="false" ht="28.5" hidden="false" customHeight="true" outlineLevel="0" collapsed="false">
      <c r="C30" s="44" t="n">
        <v>47119</v>
      </c>
      <c r="D30" s="32" t="n">
        <v>2029</v>
      </c>
      <c r="E30" s="32" t="n">
        <f aca="false">Apps!F33/12</f>
        <v>77696.6666666667</v>
      </c>
      <c r="F30" s="32" t="n">
        <f aca="false">Apps!F57/12</f>
        <v>94383.3333333333</v>
      </c>
      <c r="G30" s="32" t="n">
        <f aca="false">Apps!F81/12</f>
        <v>164675</v>
      </c>
      <c r="H30" s="32" t="n">
        <f aca="false">SUMIFS(Funding!$E$6:$E$8,Funding!$C$6:$C$8,"&gt;="&amp;C30,Funding!$C$6:$C$8,"&lt;"&amp;EDATE(C30,1))</f>
        <v>0</v>
      </c>
      <c r="I30" s="32" t="n">
        <f aca="false">SUMIFS(Funding!$F$6:$F$8,Funding!$C$6:$C$8,"&gt;="&amp;C30,Funding!$C$6:$C$8,"&lt;"&amp;EDATE(C30,1))</f>
        <v>0</v>
      </c>
      <c r="J30" s="32" t="n">
        <f aca="false">SUMIFS(Funding!$G$6:$G$8,Funding!$C$6:$C$8,"&gt;="&amp;C30,Funding!$C$6:$C$8,"&lt;"&amp;EDATE(C30,1))</f>
        <v>0</v>
      </c>
      <c r="K30" s="32" t="n">
        <f aca="false">K29+E30+H30-IF(MONTH(C30)=12,Apps!F36,0)</f>
        <v>1243116.66666667</v>
      </c>
      <c r="L30" s="32" t="n">
        <f aca="false">L29+F30+I30-IF(MONTH(C30)=12,Apps!F60,0)</f>
        <v>1121883.33333333</v>
      </c>
      <c r="M30" s="32" t="n">
        <f aca="false">M29+G30+J30-IF(MONTH(C30)=12,Apps!F84,0)</f>
        <v>3765825</v>
      </c>
      <c r="N30" s="32" t="n">
        <f aca="false">MAX(0,-MIN(K30:M30))</f>
        <v>0</v>
      </c>
    </row>
    <row r="31" customFormat="false" ht="28.5" hidden="false" customHeight="true" outlineLevel="0" collapsed="false">
      <c r="C31" s="45" t="n">
        <v>47150</v>
      </c>
      <c r="D31" s="33" t="n">
        <v>2029</v>
      </c>
      <c r="E31" s="33" t="n">
        <f aca="false">Apps!F33/12</f>
        <v>77696.6666666667</v>
      </c>
      <c r="F31" s="33" t="n">
        <f aca="false">Apps!F57/12</f>
        <v>94383.3333333333</v>
      </c>
      <c r="G31" s="33" t="n">
        <f aca="false">Apps!F81/12</f>
        <v>164675</v>
      </c>
      <c r="H31" s="33" t="n">
        <f aca="false">SUMIFS(Funding!$E$6:$E$8,Funding!$C$6:$C$8,"&gt;="&amp;C31,Funding!$C$6:$C$8,"&lt;"&amp;EDATE(C31,1))</f>
        <v>0</v>
      </c>
      <c r="I31" s="33" t="n">
        <f aca="false">SUMIFS(Funding!$F$6:$F$8,Funding!$C$6:$C$8,"&gt;="&amp;C31,Funding!$C$6:$C$8,"&lt;"&amp;EDATE(C31,1))</f>
        <v>0</v>
      </c>
      <c r="J31" s="33" t="n">
        <f aca="false">SUMIFS(Funding!$G$6:$G$8,Funding!$C$6:$C$8,"&gt;="&amp;C31,Funding!$C$6:$C$8,"&lt;"&amp;EDATE(C31,1))</f>
        <v>0</v>
      </c>
      <c r="K31" s="33" t="n">
        <f aca="false">K30+E31+H31-IF(MONTH(C31)=12,Apps!F36,0)</f>
        <v>1320813.33333333</v>
      </c>
      <c r="L31" s="33" t="n">
        <f aca="false">L30+F31+I31-IF(MONTH(C31)=12,Apps!F60,0)</f>
        <v>1216266.66666667</v>
      </c>
      <c r="M31" s="33" t="n">
        <f aca="false">M30+G31+J31-IF(MONTH(C31)=12,Apps!F84,0)</f>
        <v>3930500</v>
      </c>
      <c r="N31" s="33" t="n">
        <f aca="false">MAX(0,-MIN(K31:M31))</f>
        <v>0</v>
      </c>
    </row>
    <row r="32" customFormat="false" ht="28.5" hidden="false" customHeight="true" outlineLevel="0" collapsed="false">
      <c r="C32" s="44" t="n">
        <v>47178</v>
      </c>
      <c r="D32" s="32" t="n">
        <v>2029</v>
      </c>
      <c r="E32" s="32" t="n">
        <f aca="false">Apps!F33/12</f>
        <v>77696.6666666667</v>
      </c>
      <c r="F32" s="32" t="n">
        <f aca="false">Apps!F57/12</f>
        <v>94383.3333333333</v>
      </c>
      <c r="G32" s="32" t="n">
        <f aca="false">Apps!F81/12</f>
        <v>164675</v>
      </c>
      <c r="H32" s="32" t="n">
        <f aca="false">SUMIFS(Funding!$E$6:$E$8,Funding!$C$6:$C$8,"&gt;="&amp;C32,Funding!$C$6:$C$8,"&lt;"&amp;EDATE(C32,1))</f>
        <v>0</v>
      </c>
      <c r="I32" s="32" t="n">
        <f aca="false">SUMIFS(Funding!$F$6:$F$8,Funding!$C$6:$C$8,"&gt;="&amp;C32,Funding!$C$6:$C$8,"&lt;"&amp;EDATE(C32,1))</f>
        <v>0</v>
      </c>
      <c r="J32" s="32" t="n">
        <f aca="false">SUMIFS(Funding!$G$6:$G$8,Funding!$C$6:$C$8,"&gt;="&amp;C32,Funding!$C$6:$C$8,"&lt;"&amp;EDATE(C32,1))</f>
        <v>0</v>
      </c>
      <c r="K32" s="32" t="n">
        <f aca="false">K31+E32+H32-IF(MONTH(C32)=12,Apps!F36,0)</f>
        <v>1398510</v>
      </c>
      <c r="L32" s="32" t="n">
        <f aca="false">L31+F32+I32-IF(MONTH(C32)=12,Apps!F60,0)</f>
        <v>1310650</v>
      </c>
      <c r="M32" s="32" t="n">
        <f aca="false">M31+G32+J32-IF(MONTH(C32)=12,Apps!F84,0)</f>
        <v>4095175</v>
      </c>
      <c r="N32" s="32" t="n">
        <f aca="false">MAX(0,-MIN(K32:M32))</f>
        <v>0</v>
      </c>
    </row>
    <row r="33" customFormat="false" ht="28.5" hidden="false" customHeight="true" outlineLevel="0" collapsed="false">
      <c r="C33" s="45" t="n">
        <v>47209</v>
      </c>
      <c r="D33" s="33" t="n">
        <v>2029</v>
      </c>
      <c r="E33" s="33" t="n">
        <f aca="false">Apps!F33/12</f>
        <v>77696.6666666667</v>
      </c>
      <c r="F33" s="33" t="n">
        <f aca="false">Apps!F57/12</f>
        <v>94383.3333333333</v>
      </c>
      <c r="G33" s="33" t="n">
        <f aca="false">Apps!F81/12</f>
        <v>164675</v>
      </c>
      <c r="H33" s="33" t="n">
        <f aca="false">SUMIFS(Funding!$E$6:$E$8,Funding!$C$6:$C$8,"&gt;="&amp;C33,Funding!$C$6:$C$8,"&lt;"&amp;EDATE(C33,1))</f>
        <v>0</v>
      </c>
      <c r="I33" s="33" t="n">
        <f aca="false">SUMIFS(Funding!$F$6:$F$8,Funding!$C$6:$C$8,"&gt;="&amp;C33,Funding!$C$6:$C$8,"&lt;"&amp;EDATE(C33,1))</f>
        <v>0</v>
      </c>
      <c r="J33" s="33" t="n">
        <f aca="false">SUMIFS(Funding!$G$6:$G$8,Funding!$C$6:$C$8,"&gt;="&amp;C33,Funding!$C$6:$C$8,"&lt;"&amp;EDATE(C33,1))</f>
        <v>0</v>
      </c>
      <c r="K33" s="33" t="n">
        <f aca="false">K32+E33+H33-IF(MONTH(C33)=12,Apps!F36,0)</f>
        <v>1476206.66666667</v>
      </c>
      <c r="L33" s="33" t="n">
        <f aca="false">L32+F33+I33-IF(MONTH(C33)=12,Apps!F60,0)</f>
        <v>1405033.33333333</v>
      </c>
      <c r="M33" s="33" t="n">
        <f aca="false">M32+G33+J33-IF(MONTH(C33)=12,Apps!F84,0)</f>
        <v>4259850</v>
      </c>
      <c r="N33" s="33" t="n">
        <f aca="false">MAX(0,-MIN(K33:M33))</f>
        <v>0</v>
      </c>
    </row>
    <row r="34" customFormat="false" ht="28.5" hidden="false" customHeight="true" outlineLevel="0" collapsed="false">
      <c r="C34" s="44" t="n">
        <v>47239</v>
      </c>
      <c r="D34" s="32" t="n">
        <v>2029</v>
      </c>
      <c r="E34" s="32" t="n">
        <f aca="false">Apps!F33/12</f>
        <v>77696.6666666667</v>
      </c>
      <c r="F34" s="32" t="n">
        <f aca="false">Apps!F57/12</f>
        <v>94383.3333333333</v>
      </c>
      <c r="G34" s="32" t="n">
        <f aca="false">Apps!F81/12</f>
        <v>164675</v>
      </c>
      <c r="H34" s="32" t="n">
        <f aca="false">SUMIFS(Funding!$E$6:$E$8,Funding!$C$6:$C$8,"&gt;="&amp;C34,Funding!$C$6:$C$8,"&lt;"&amp;EDATE(C34,1))</f>
        <v>0</v>
      </c>
      <c r="I34" s="32" t="n">
        <f aca="false">SUMIFS(Funding!$F$6:$F$8,Funding!$C$6:$C$8,"&gt;="&amp;C34,Funding!$C$6:$C$8,"&lt;"&amp;EDATE(C34,1))</f>
        <v>0</v>
      </c>
      <c r="J34" s="32" t="n">
        <f aca="false">SUMIFS(Funding!$G$6:$G$8,Funding!$C$6:$C$8,"&gt;="&amp;C34,Funding!$C$6:$C$8,"&lt;"&amp;EDATE(C34,1))</f>
        <v>0</v>
      </c>
      <c r="K34" s="32" t="n">
        <f aca="false">K33+E34+H34-IF(MONTH(C34)=12,Apps!F36,0)</f>
        <v>1553903.33333333</v>
      </c>
      <c r="L34" s="32" t="n">
        <f aca="false">L33+F34+I34-IF(MONTH(C34)=12,Apps!F60,0)</f>
        <v>1499416.66666667</v>
      </c>
      <c r="M34" s="32" t="n">
        <f aca="false">M33+G34+J34-IF(MONTH(C34)=12,Apps!F84,0)</f>
        <v>4424525</v>
      </c>
      <c r="N34" s="32" t="n">
        <f aca="false">MAX(0,-MIN(K34:M34))</f>
        <v>0</v>
      </c>
    </row>
    <row r="35" customFormat="false" ht="28.5" hidden="false" customHeight="true" outlineLevel="0" collapsed="false">
      <c r="C35" s="45" t="n">
        <v>47270</v>
      </c>
      <c r="D35" s="33" t="n">
        <v>2029</v>
      </c>
      <c r="E35" s="33" t="n">
        <f aca="false">Apps!F33/12</f>
        <v>77696.6666666667</v>
      </c>
      <c r="F35" s="33" t="n">
        <f aca="false">Apps!F57/12</f>
        <v>94383.3333333333</v>
      </c>
      <c r="G35" s="33" t="n">
        <f aca="false">Apps!F81/12</f>
        <v>164675</v>
      </c>
      <c r="H35" s="33" t="n">
        <f aca="false">SUMIFS(Funding!$E$6:$E$8,Funding!$C$6:$C$8,"&gt;="&amp;C35,Funding!$C$6:$C$8,"&lt;"&amp;EDATE(C35,1))</f>
        <v>0</v>
      </c>
      <c r="I35" s="33" t="n">
        <f aca="false">SUMIFS(Funding!$F$6:$F$8,Funding!$C$6:$C$8,"&gt;="&amp;C35,Funding!$C$6:$C$8,"&lt;"&amp;EDATE(C35,1))</f>
        <v>0</v>
      </c>
      <c r="J35" s="33" t="n">
        <f aca="false">SUMIFS(Funding!$G$6:$G$8,Funding!$C$6:$C$8,"&gt;="&amp;C35,Funding!$C$6:$C$8,"&lt;"&amp;EDATE(C35,1))</f>
        <v>0</v>
      </c>
      <c r="K35" s="33" t="n">
        <f aca="false">K34+E35+H35-IF(MONTH(C35)=12,Apps!F36,0)</f>
        <v>1631600</v>
      </c>
      <c r="L35" s="33" t="n">
        <f aca="false">L34+F35+I35-IF(MONTH(C35)=12,Apps!F60,0)</f>
        <v>1593800</v>
      </c>
      <c r="M35" s="33" t="n">
        <f aca="false">M34+G35+J35-IF(MONTH(C35)=12,Apps!F84,0)</f>
        <v>4589200</v>
      </c>
      <c r="N35" s="33" t="n">
        <f aca="false">MAX(0,-MIN(K35:M35))</f>
        <v>0</v>
      </c>
    </row>
    <row r="36" customFormat="false" ht="28.5" hidden="false" customHeight="true" outlineLevel="0" collapsed="false">
      <c r="C36" s="44" t="n">
        <v>47300</v>
      </c>
      <c r="D36" s="32" t="n">
        <v>2029</v>
      </c>
      <c r="E36" s="32" t="n">
        <f aca="false">Apps!F33/12</f>
        <v>77696.6666666667</v>
      </c>
      <c r="F36" s="32" t="n">
        <f aca="false">Apps!F57/12</f>
        <v>94383.3333333333</v>
      </c>
      <c r="G36" s="32" t="n">
        <f aca="false">Apps!F81/12</f>
        <v>164675</v>
      </c>
      <c r="H36" s="32" t="n">
        <f aca="false">SUMIFS(Funding!$E$6:$E$8,Funding!$C$6:$C$8,"&gt;="&amp;C36,Funding!$C$6:$C$8,"&lt;"&amp;EDATE(C36,1))</f>
        <v>0</v>
      </c>
      <c r="I36" s="32" t="n">
        <f aca="false">SUMIFS(Funding!$F$6:$F$8,Funding!$C$6:$C$8,"&gt;="&amp;C36,Funding!$C$6:$C$8,"&lt;"&amp;EDATE(C36,1))</f>
        <v>0</v>
      </c>
      <c r="J36" s="32" t="n">
        <f aca="false">SUMIFS(Funding!$G$6:$G$8,Funding!$C$6:$C$8,"&gt;="&amp;C36,Funding!$C$6:$C$8,"&lt;"&amp;EDATE(C36,1))</f>
        <v>0</v>
      </c>
      <c r="K36" s="32" t="n">
        <f aca="false">K35+E36+H36-IF(MONTH(C36)=12,Apps!F36,0)</f>
        <v>1709296.66666667</v>
      </c>
      <c r="L36" s="32" t="n">
        <f aca="false">L35+F36+I36-IF(MONTH(C36)=12,Apps!F60,0)</f>
        <v>1688183.33333333</v>
      </c>
      <c r="M36" s="32" t="n">
        <f aca="false">M35+G36+J36-IF(MONTH(C36)=12,Apps!F84,0)</f>
        <v>4753875</v>
      </c>
      <c r="N36" s="32" t="n">
        <f aca="false">MAX(0,-MIN(K36:M36))</f>
        <v>0</v>
      </c>
    </row>
    <row r="37" customFormat="false" ht="28.5" hidden="false" customHeight="true" outlineLevel="0" collapsed="false">
      <c r="C37" s="45" t="n">
        <v>47331</v>
      </c>
      <c r="D37" s="33" t="n">
        <v>2029</v>
      </c>
      <c r="E37" s="33" t="n">
        <f aca="false">Apps!F33/12</f>
        <v>77696.6666666667</v>
      </c>
      <c r="F37" s="33" t="n">
        <f aca="false">Apps!F57/12</f>
        <v>94383.3333333333</v>
      </c>
      <c r="G37" s="33" t="n">
        <f aca="false">Apps!F81/12</f>
        <v>164675</v>
      </c>
      <c r="H37" s="33" t="n">
        <f aca="false">SUMIFS(Funding!$E$6:$E$8,Funding!$C$6:$C$8,"&gt;="&amp;C37,Funding!$C$6:$C$8,"&lt;"&amp;EDATE(C37,1))</f>
        <v>0</v>
      </c>
      <c r="I37" s="33" t="n">
        <f aca="false">SUMIFS(Funding!$F$6:$F$8,Funding!$C$6:$C$8,"&gt;="&amp;C37,Funding!$C$6:$C$8,"&lt;"&amp;EDATE(C37,1))</f>
        <v>0</v>
      </c>
      <c r="J37" s="33" t="n">
        <f aca="false">SUMIFS(Funding!$G$6:$G$8,Funding!$C$6:$C$8,"&gt;="&amp;C37,Funding!$C$6:$C$8,"&lt;"&amp;EDATE(C37,1))</f>
        <v>0</v>
      </c>
      <c r="K37" s="33" t="n">
        <f aca="false">K36+E37+H37-IF(MONTH(C37)=12,Apps!F36,0)</f>
        <v>1786993.33333333</v>
      </c>
      <c r="L37" s="33" t="n">
        <f aca="false">L36+F37+I37-IF(MONTH(C37)=12,Apps!F60,0)</f>
        <v>1782566.66666667</v>
      </c>
      <c r="M37" s="33" t="n">
        <f aca="false">M36+G37+J37-IF(MONTH(C37)=12,Apps!F84,0)</f>
        <v>4918550</v>
      </c>
      <c r="N37" s="33" t="n">
        <f aca="false">MAX(0,-MIN(K37:M37))</f>
        <v>0</v>
      </c>
    </row>
    <row r="38" customFormat="false" ht="28.5" hidden="false" customHeight="true" outlineLevel="0" collapsed="false">
      <c r="C38" s="44" t="n">
        <v>47362</v>
      </c>
      <c r="D38" s="32" t="n">
        <v>2029</v>
      </c>
      <c r="E38" s="32" t="n">
        <f aca="false">Apps!F33/12</f>
        <v>77696.6666666667</v>
      </c>
      <c r="F38" s="32" t="n">
        <f aca="false">Apps!F57/12</f>
        <v>94383.3333333333</v>
      </c>
      <c r="G38" s="32" t="n">
        <f aca="false">Apps!F81/12</f>
        <v>164675</v>
      </c>
      <c r="H38" s="32" t="n">
        <f aca="false">SUMIFS(Funding!$E$6:$E$8,Funding!$C$6:$C$8,"&gt;="&amp;C38,Funding!$C$6:$C$8,"&lt;"&amp;EDATE(C38,1))</f>
        <v>0</v>
      </c>
      <c r="I38" s="32" t="n">
        <f aca="false">SUMIFS(Funding!$F$6:$F$8,Funding!$C$6:$C$8,"&gt;="&amp;C38,Funding!$C$6:$C$8,"&lt;"&amp;EDATE(C38,1))</f>
        <v>0</v>
      </c>
      <c r="J38" s="32" t="n">
        <f aca="false">SUMIFS(Funding!$G$6:$G$8,Funding!$C$6:$C$8,"&gt;="&amp;C38,Funding!$C$6:$C$8,"&lt;"&amp;EDATE(C38,1))</f>
        <v>0</v>
      </c>
      <c r="K38" s="32" t="n">
        <f aca="false">K37+E38+H38-IF(MONTH(C38)=12,Apps!F36,0)</f>
        <v>1864690</v>
      </c>
      <c r="L38" s="32" t="n">
        <f aca="false">L37+F38+I38-IF(MONTH(C38)=12,Apps!F60,0)</f>
        <v>1876950</v>
      </c>
      <c r="M38" s="32" t="n">
        <f aca="false">M37+G38+J38-IF(MONTH(C38)=12,Apps!F84,0)</f>
        <v>5083225</v>
      </c>
      <c r="N38" s="32" t="n">
        <f aca="false">MAX(0,-MIN(K38:M38))</f>
        <v>0</v>
      </c>
    </row>
    <row r="39" customFormat="false" ht="28.5" hidden="false" customHeight="true" outlineLevel="0" collapsed="false">
      <c r="C39" s="45" t="n">
        <v>47392</v>
      </c>
      <c r="D39" s="33" t="n">
        <v>2029</v>
      </c>
      <c r="E39" s="33" t="n">
        <f aca="false">Apps!F33/12</f>
        <v>77696.6666666667</v>
      </c>
      <c r="F39" s="33" t="n">
        <f aca="false">Apps!F57/12</f>
        <v>94383.3333333333</v>
      </c>
      <c r="G39" s="33" t="n">
        <f aca="false">Apps!F81/12</f>
        <v>164675</v>
      </c>
      <c r="H39" s="33" t="n">
        <f aca="false">SUMIFS(Funding!$E$6:$E$8,Funding!$C$6:$C$8,"&gt;="&amp;C39,Funding!$C$6:$C$8,"&lt;"&amp;EDATE(C39,1))</f>
        <v>0</v>
      </c>
      <c r="I39" s="33" t="n">
        <f aca="false">SUMIFS(Funding!$F$6:$F$8,Funding!$C$6:$C$8,"&gt;="&amp;C39,Funding!$C$6:$C$8,"&lt;"&amp;EDATE(C39,1))</f>
        <v>0</v>
      </c>
      <c r="J39" s="33" t="n">
        <f aca="false">SUMIFS(Funding!$G$6:$G$8,Funding!$C$6:$C$8,"&gt;="&amp;C39,Funding!$C$6:$C$8,"&lt;"&amp;EDATE(C39,1))</f>
        <v>0</v>
      </c>
      <c r="K39" s="33" t="n">
        <f aca="false">K38+E39+H39-IF(MONTH(C39)=12,Apps!F36,0)</f>
        <v>1942386.66666667</v>
      </c>
      <c r="L39" s="33" t="n">
        <f aca="false">L38+F39+I39-IF(MONTH(C39)=12,Apps!F60,0)</f>
        <v>1971333.33333333</v>
      </c>
      <c r="M39" s="33" t="n">
        <f aca="false">M38+G39+J39-IF(MONTH(C39)=12,Apps!F84,0)</f>
        <v>5247900</v>
      </c>
      <c r="N39" s="33" t="n">
        <f aca="false">MAX(0,-MIN(K39:M39))</f>
        <v>0</v>
      </c>
    </row>
    <row r="40" customFormat="false" ht="28.5" hidden="false" customHeight="true" outlineLevel="0" collapsed="false">
      <c r="C40" s="44" t="n">
        <v>47423</v>
      </c>
      <c r="D40" s="32" t="n">
        <v>2029</v>
      </c>
      <c r="E40" s="32" t="n">
        <f aca="false">Apps!F33/12</f>
        <v>77696.6666666667</v>
      </c>
      <c r="F40" s="32" t="n">
        <f aca="false">Apps!F57/12</f>
        <v>94383.3333333333</v>
      </c>
      <c r="G40" s="32" t="n">
        <f aca="false">Apps!F81/12</f>
        <v>164675</v>
      </c>
      <c r="H40" s="32" t="n">
        <f aca="false">SUMIFS(Funding!$E$6:$E$8,Funding!$C$6:$C$8,"&gt;="&amp;C40,Funding!$C$6:$C$8,"&lt;"&amp;EDATE(C40,1))</f>
        <v>0</v>
      </c>
      <c r="I40" s="32" t="n">
        <f aca="false">SUMIFS(Funding!$F$6:$F$8,Funding!$C$6:$C$8,"&gt;="&amp;C40,Funding!$C$6:$C$8,"&lt;"&amp;EDATE(C40,1))</f>
        <v>0</v>
      </c>
      <c r="J40" s="32" t="n">
        <f aca="false">SUMIFS(Funding!$G$6:$G$8,Funding!$C$6:$C$8,"&gt;="&amp;C40,Funding!$C$6:$C$8,"&lt;"&amp;EDATE(C40,1))</f>
        <v>0</v>
      </c>
      <c r="K40" s="32" t="n">
        <f aca="false">K39+E40+H40-IF(MONTH(C40)=12,Apps!F36,0)</f>
        <v>2020083.33333333</v>
      </c>
      <c r="L40" s="32" t="n">
        <f aca="false">L39+F40+I40-IF(MONTH(C40)=12,Apps!F60,0)</f>
        <v>2065716.66666667</v>
      </c>
      <c r="M40" s="32" t="n">
        <f aca="false">M39+G40+J40-IF(MONTH(C40)=12,Apps!F84,0)</f>
        <v>5412575</v>
      </c>
      <c r="N40" s="32" t="n">
        <f aca="false">MAX(0,-MIN(K40:M40))</f>
        <v>0</v>
      </c>
    </row>
    <row r="41" customFormat="false" ht="28.5" hidden="false" customHeight="true" outlineLevel="0" collapsed="false">
      <c r="C41" s="45" t="n">
        <v>47453</v>
      </c>
      <c r="D41" s="33" t="n">
        <v>2029</v>
      </c>
      <c r="E41" s="33" t="n">
        <f aca="false">Apps!F33/12</f>
        <v>77696.6666666667</v>
      </c>
      <c r="F41" s="33" t="n">
        <f aca="false">Apps!F57/12</f>
        <v>94383.3333333333</v>
      </c>
      <c r="G41" s="33" t="n">
        <f aca="false">Apps!F81/12</f>
        <v>164675</v>
      </c>
      <c r="H41" s="33" t="n">
        <f aca="false">SUMIFS(Funding!$E$6:$E$8,Funding!$C$6:$C$8,"&gt;="&amp;C41,Funding!$C$6:$C$8,"&lt;"&amp;EDATE(C41,1))</f>
        <v>0</v>
      </c>
      <c r="I41" s="33" t="n">
        <f aca="false">SUMIFS(Funding!$F$6:$F$8,Funding!$C$6:$C$8,"&gt;="&amp;C41,Funding!$C$6:$C$8,"&lt;"&amp;EDATE(C41,1))</f>
        <v>0</v>
      </c>
      <c r="J41" s="33" t="n">
        <f aca="false">SUMIFS(Funding!$G$6:$G$8,Funding!$C$6:$C$8,"&gt;="&amp;C41,Funding!$C$6:$C$8,"&lt;"&amp;EDATE(C41,1))</f>
        <v>0</v>
      </c>
      <c r="K41" s="33" t="n">
        <f aca="false">K40+E41+H41-IF(MONTH(C41)=12,Apps!F36,0)</f>
        <v>1577400</v>
      </c>
      <c r="L41" s="33" t="n">
        <f aca="false">L40+F41+I41-IF(MONTH(C41)=12,Apps!F60,0)</f>
        <v>1568800</v>
      </c>
      <c r="M41" s="33" t="n">
        <f aca="false">M40+G41+J41-IF(MONTH(C41)=12,Apps!F84,0)</f>
        <v>4547200</v>
      </c>
      <c r="N41" s="33" t="n">
        <f aca="false">MAX(0,-MIN(K41:M41))</f>
        <v>0</v>
      </c>
    </row>
    <row r="44" customFormat="false" ht="37.5" hidden="false" customHeight="true" outlineLevel="0" collapsed="false">
      <c r="C44" s="46" t="s">
        <v>223</v>
      </c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</row>
    <row r="45" customFormat="false" ht="37.5" hidden="false" customHeight="true" outlineLevel="0" collapsed="false">
      <c r="C45" s="6" t="s">
        <v>224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</sheetData>
  <mergeCells count="3">
    <mergeCell ref="C2:N2"/>
    <mergeCell ref="C44:N44"/>
    <mergeCell ref="C45:N45"/>
  </mergeCells>
  <conditionalFormatting sqref="K6:M41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A6AD"/>
    <pageSetUpPr fitToPage="true"/>
  </sheetPr>
  <dimension ref="C2:L13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1" width="2"/>
    <col collapsed="false" customWidth="true" hidden="false" outlineLevel="0" max="12" min="3" style="1" width="19"/>
  </cols>
  <sheetData>
    <row r="2" customFormat="false" ht="42.75" hidden="false" customHeight="true" outlineLevel="0" collapsed="false">
      <c r="C2" s="2" t="s">
        <v>225</v>
      </c>
      <c r="D2" s="2"/>
      <c r="E2" s="2"/>
      <c r="F2" s="2"/>
      <c r="G2" s="2"/>
      <c r="H2" s="2"/>
      <c r="I2" s="2"/>
      <c r="J2" s="2"/>
      <c r="K2" s="2"/>
      <c r="L2" s="2"/>
    </row>
    <row r="5" customFormat="false" ht="43.5" hidden="false" customHeight="true" outlineLevel="0" collapsed="false">
      <c r="C5" s="3" t="s">
        <v>80</v>
      </c>
      <c r="D5" s="3" t="s">
        <v>41</v>
      </c>
      <c r="E5" s="3" t="s">
        <v>226</v>
      </c>
      <c r="F5" s="3" t="s">
        <v>227</v>
      </c>
      <c r="G5" s="3" t="s">
        <v>228</v>
      </c>
      <c r="H5" s="3" t="s">
        <v>229</v>
      </c>
      <c r="I5" s="3" t="s">
        <v>230</v>
      </c>
      <c r="J5" s="3" t="s">
        <v>231</v>
      </c>
      <c r="K5" s="3" t="s">
        <v>56</v>
      </c>
      <c r="L5" s="3" t="s">
        <v>232</v>
      </c>
    </row>
    <row r="6" customFormat="false" ht="28.5" hidden="false" customHeight="true" outlineLevel="0" collapsed="false">
      <c r="C6" s="4" t="s">
        <v>46</v>
      </c>
      <c r="D6" s="32" t="n">
        <f aca="false">Terms!D13</f>
        <v>1380000</v>
      </c>
      <c r="E6" s="47" t="n">
        <f aca="false">Terms!E13</f>
        <v>0.3</v>
      </c>
      <c r="F6" s="32" t="n">
        <f aca="false">Apps!F25</f>
        <v>1256400</v>
      </c>
      <c r="G6" s="48" t="n">
        <f aca="false">Terms!D30</f>
        <v>6</v>
      </c>
      <c r="H6" s="32" t="n">
        <f aca="false">Terms!D47</f>
        <v>0</v>
      </c>
      <c r="I6" s="32" t="n">
        <f aca="false">MAX(0,F6*G6-H6)*E6</f>
        <v>2261520</v>
      </c>
      <c r="J6" s="32" t="n">
        <f aca="false">SUM(Apps!D38:F38)</f>
        <v>222912</v>
      </c>
      <c r="K6" s="49" t="n">
        <f aca="false">SUM(I6:J6)/D6</f>
        <v>1.80031304347826</v>
      </c>
      <c r="L6" s="32" t="n">
        <f aca="false">Apps!F37</f>
        <v>1577400</v>
      </c>
    </row>
    <row r="7" customFormat="false" ht="28.5" hidden="false" customHeight="true" outlineLevel="0" collapsed="false">
      <c r="C7" s="5" t="s">
        <v>47</v>
      </c>
      <c r="D7" s="33" t="n">
        <f aca="false">Terms!D14</f>
        <v>1290000</v>
      </c>
      <c r="E7" s="34" t="n">
        <f aca="false">Terms!E14</f>
        <v>0.3</v>
      </c>
      <c r="F7" s="33" t="n">
        <f aca="false">Apps!F49</f>
        <v>1464000</v>
      </c>
      <c r="G7" s="50" t="n">
        <f aca="false">Terms!D30</f>
        <v>6</v>
      </c>
      <c r="H7" s="33" t="n">
        <f aca="false">Terms!D48</f>
        <v>0</v>
      </c>
      <c r="I7" s="33" t="n">
        <f aca="false">MAX(0,F7*G7-H7)*E7</f>
        <v>2635200</v>
      </c>
      <c r="J7" s="33" t="n">
        <f aca="false">SUM(Apps!D62:F62)</f>
        <v>263520</v>
      </c>
      <c r="K7" s="51" t="n">
        <f aca="false">SUM(I7:J7)/D7</f>
        <v>2.24706976744186</v>
      </c>
      <c r="L7" s="33" t="n">
        <f aca="false">Apps!F61</f>
        <v>1568800</v>
      </c>
    </row>
    <row r="8" customFormat="false" ht="28.5" hidden="false" customHeight="true" outlineLevel="0" collapsed="false">
      <c r="C8" s="4" t="s">
        <v>48</v>
      </c>
      <c r="D8" s="32" t="n">
        <f aca="false">Terms!D15</f>
        <v>5000000</v>
      </c>
      <c r="E8" s="47" t="n">
        <f aca="false">Terms!E15</f>
        <v>0.3</v>
      </c>
      <c r="F8" s="32" t="n">
        <f aca="false">Apps!F73</f>
        <v>2739000</v>
      </c>
      <c r="G8" s="48" t="n">
        <f aca="false">Terms!D30</f>
        <v>6</v>
      </c>
      <c r="H8" s="32" t="n">
        <f aca="false">Terms!D49</f>
        <v>0</v>
      </c>
      <c r="I8" s="32" t="n">
        <f aca="false">MAX(0,F8*G8-H8)*E8</f>
        <v>4930200</v>
      </c>
      <c r="J8" s="32" t="n">
        <f aca="false">SUM(Apps!D86:F86)</f>
        <v>456570</v>
      </c>
      <c r="K8" s="49" t="n">
        <f aca="false">SUM(I8:J8)/D8</f>
        <v>1.077354</v>
      </c>
      <c r="L8" s="32" t="n">
        <f aca="false">Apps!F85</f>
        <v>4547200</v>
      </c>
    </row>
    <row r="9" customFormat="false" ht="28.5" hidden="false" customHeight="true" outlineLevel="0" collapsed="false">
      <c r="C9" s="5" t="s">
        <v>49</v>
      </c>
      <c r="D9" s="33" t="n">
        <f aca="false">Terms!D16</f>
        <v>7000000</v>
      </c>
      <c r="E9" s="34" t="n">
        <f aca="false">Terms!E16</f>
        <v>0.3</v>
      </c>
      <c r="F9" s="33" t="n">
        <f aca="false">WOO!F31</f>
        <v>10998702.1224185</v>
      </c>
      <c r="G9" s="50" t="n">
        <f aca="false">Terms!D31</f>
        <v>5</v>
      </c>
      <c r="H9" s="33" t="n">
        <f aca="false">Terms!D33</f>
        <v>0</v>
      </c>
      <c r="I9" s="33" t="n">
        <f aca="false">MAX(0,F9*G9-H9)*E9</f>
        <v>16498053.1836278</v>
      </c>
      <c r="J9" s="33" t="n">
        <f aca="false">SUM(WOO!D27:F27)</f>
        <v>2284867.67181652</v>
      </c>
      <c r="K9" s="51" t="n">
        <f aca="false">SUM(I9:J9)/D9</f>
        <v>2.68327440792062</v>
      </c>
      <c r="L9" s="33" t="n">
        <f aca="false">WOO!F25</f>
        <v>12769425.5568294</v>
      </c>
    </row>
    <row r="12" customFormat="false" ht="37.5" hidden="false" customHeight="true" outlineLevel="0" collapsed="false">
      <c r="C12" s="6" t="s">
        <v>233</v>
      </c>
      <c r="D12" s="6"/>
      <c r="E12" s="6"/>
      <c r="F12" s="6"/>
      <c r="G12" s="6"/>
      <c r="H12" s="6"/>
      <c r="I12" s="6"/>
      <c r="J12" s="6"/>
      <c r="K12" s="6"/>
      <c r="L12" s="6"/>
    </row>
    <row r="13" customFormat="false" ht="37.5" hidden="false" customHeight="true" outlineLevel="0" collapsed="false">
      <c r="C13" s="6" t="s">
        <v>234</v>
      </c>
      <c r="D13" s="6"/>
      <c r="E13" s="6"/>
      <c r="F13" s="6"/>
      <c r="G13" s="6"/>
      <c r="H13" s="6"/>
      <c r="I13" s="6"/>
      <c r="J13" s="6"/>
      <c r="K13" s="6"/>
      <c r="L13" s="6"/>
    </row>
  </sheetData>
  <mergeCells count="3">
    <mergeCell ref="C2:L2"/>
    <mergeCell ref="C12:L12"/>
    <mergeCell ref="C13:L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A6AD"/>
    <pageSetUpPr fitToPage="true"/>
  </sheetPr>
  <dimension ref="C2:I18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1" width="2"/>
    <col collapsed="false" customWidth="true" hidden="false" outlineLevel="0" max="9" min="3" style="1" width="19"/>
  </cols>
  <sheetData>
    <row r="2" customFormat="false" ht="42.75" hidden="false" customHeight="true" outlineLevel="0" collapsed="false">
      <c r="C2" s="2" t="s">
        <v>235</v>
      </c>
      <c r="D2" s="2"/>
      <c r="E2" s="2"/>
      <c r="F2" s="2"/>
      <c r="G2" s="2"/>
      <c r="H2" s="2"/>
      <c r="I2" s="2"/>
    </row>
    <row r="5" customFormat="false" ht="43.5" hidden="false" customHeight="true" outlineLevel="0" collapsed="false">
      <c r="C5" s="3" t="s">
        <v>236</v>
      </c>
      <c r="D5" s="3" t="s">
        <v>46</v>
      </c>
      <c r="E5" s="3" t="s">
        <v>47</v>
      </c>
      <c r="F5" s="3" t="s">
        <v>48</v>
      </c>
      <c r="G5" s="3" t="s">
        <v>237</v>
      </c>
      <c r="H5" s="3" t="s">
        <v>238</v>
      </c>
      <c r="I5" s="3" t="s">
        <v>49</v>
      </c>
    </row>
    <row r="6" customFormat="false" ht="28.5" hidden="false" customHeight="true" outlineLevel="0" collapsed="false">
      <c r="C6" s="36" t="n">
        <f aca="false">Funding!C6</f>
        <v>46301</v>
      </c>
      <c r="D6" s="32" t="n">
        <f aca="false">-Funding!E6</f>
        <v>-690000</v>
      </c>
      <c r="E6" s="32" t="n">
        <f aca="false">-Funding!F6</f>
        <v>-645000</v>
      </c>
      <c r="F6" s="32" t="n">
        <f aca="false">-Funding!G6</f>
        <v>-2500000</v>
      </c>
      <c r="G6" s="32" t="n">
        <f aca="false">SUM(D6:F6)</f>
        <v>-3835000</v>
      </c>
      <c r="H6" s="36" t="n">
        <f aca="false">Funding!C6</f>
        <v>46301</v>
      </c>
      <c r="I6" s="32" t="n">
        <f aca="false">-Funding!H6</f>
        <v>-3500000</v>
      </c>
    </row>
    <row r="7" customFormat="false" ht="28.5" hidden="false" customHeight="true" outlineLevel="0" collapsed="false">
      <c r="C7" s="35" t="n">
        <f aca="false">Funding!C7</f>
        <v>46393</v>
      </c>
      <c r="D7" s="33" t="n">
        <f aca="false">-Funding!E7</f>
        <v>-414000</v>
      </c>
      <c r="E7" s="33" t="n">
        <f aca="false">-Funding!F7</f>
        <v>-387000</v>
      </c>
      <c r="F7" s="33" t="n">
        <f aca="false">-Funding!G7</f>
        <v>-1500000</v>
      </c>
      <c r="G7" s="33" t="n">
        <f aca="false">SUM(D7:F7)</f>
        <v>-2301000</v>
      </c>
      <c r="H7" s="35" t="n">
        <f aca="false">Funding!C7</f>
        <v>46393</v>
      </c>
      <c r="I7" s="33" t="n">
        <f aca="false">-Funding!H7</f>
        <v>-2100000</v>
      </c>
    </row>
    <row r="8" customFormat="false" ht="28.5" hidden="false" customHeight="true" outlineLevel="0" collapsed="false">
      <c r="C8" s="36" t="n">
        <f aca="false">Funding!C8</f>
        <v>46483</v>
      </c>
      <c r="D8" s="32" t="n">
        <f aca="false">-Funding!E8</f>
        <v>-276000</v>
      </c>
      <c r="E8" s="32" t="n">
        <f aca="false">-Funding!F8</f>
        <v>-258000</v>
      </c>
      <c r="F8" s="32" t="n">
        <f aca="false">-Funding!G8</f>
        <v>-1000000</v>
      </c>
      <c r="G8" s="32" t="n">
        <f aca="false">SUM(D8:F8)</f>
        <v>-1534000</v>
      </c>
      <c r="H8" s="36" t="n">
        <f aca="false">Funding!C8</f>
        <v>46483</v>
      </c>
      <c r="I8" s="32" t="n">
        <f aca="false">-Funding!H8</f>
        <v>-1400000</v>
      </c>
    </row>
    <row r="9" customFormat="false" ht="28.5" hidden="false" customHeight="true" outlineLevel="0" collapsed="false">
      <c r="C9" s="35" t="n">
        <f aca="false">Funding!D13</f>
        <v>46752</v>
      </c>
      <c r="D9" s="33" t="n">
        <f aca="false">Apps!D38</f>
        <v>0</v>
      </c>
      <c r="E9" s="33" t="n">
        <f aca="false">Apps!D62</f>
        <v>0</v>
      </c>
      <c r="F9" s="33" t="n">
        <f aca="false">Apps!D86</f>
        <v>0</v>
      </c>
      <c r="G9" s="33" t="n">
        <f aca="false">SUM(D9:F9)</f>
        <v>0</v>
      </c>
      <c r="H9" s="35" t="n">
        <f aca="false">Funding!D17</f>
        <v>46630</v>
      </c>
      <c r="I9" s="33" t="n">
        <f aca="false">WOO!D27</f>
        <v>0</v>
      </c>
    </row>
    <row r="10" customFormat="false" ht="28.5" hidden="false" customHeight="true" outlineLevel="0" collapsed="false">
      <c r="C10" s="36" t="n">
        <f aca="false">Funding!D14</f>
        <v>47118</v>
      </c>
      <c r="D10" s="32" t="n">
        <f aca="false">Apps!E38</f>
        <v>66798</v>
      </c>
      <c r="E10" s="32" t="n">
        <f aca="false">Apps!E62</f>
        <v>86130</v>
      </c>
      <c r="F10" s="32" t="n">
        <f aca="false">Apps!E86</f>
        <v>147555</v>
      </c>
      <c r="G10" s="32" t="n">
        <f aca="false">SUM(D10:F10)</f>
        <v>300483</v>
      </c>
      <c r="H10" s="36" t="n">
        <f aca="false">Funding!D18</f>
        <v>46996</v>
      </c>
      <c r="I10" s="32" t="n">
        <f aca="false">WOO!E27</f>
        <v>892577.285290017</v>
      </c>
    </row>
    <row r="11" customFormat="false" ht="28.5" hidden="false" customHeight="true" outlineLevel="0" collapsed="false">
      <c r="C11" s="35" t="n">
        <f aca="false">Funding!D15</f>
        <v>47483</v>
      </c>
      <c r="D11" s="33" t="n">
        <f aca="false">Apps!F38+'Exit Details'!I6</f>
        <v>2417634</v>
      </c>
      <c r="E11" s="33" t="n">
        <f aca="false">Apps!F62+'Exit Details'!I7</f>
        <v>2812590</v>
      </c>
      <c r="F11" s="33" t="n">
        <f aca="false">Apps!F86+'Exit Details'!I8</f>
        <v>5239215</v>
      </c>
      <c r="G11" s="33" t="n">
        <f aca="false">SUM(D11:F11)</f>
        <v>10469439</v>
      </c>
      <c r="H11" s="35" t="n">
        <f aca="false">Funding!D19</f>
        <v>47361</v>
      </c>
      <c r="I11" s="33" t="n">
        <f aca="false">WOO!F27+'Exit Details'!I9</f>
        <v>17890343.5701543</v>
      </c>
    </row>
    <row r="12" customFormat="false" ht="28.5" hidden="false" customHeight="true" outlineLevel="0" collapsed="false"/>
    <row r="13" customFormat="false" ht="28.5" hidden="false" customHeight="true" outlineLevel="0" collapsed="false"/>
    <row r="14" customFormat="false" ht="28.5" hidden="false" customHeight="true" outlineLevel="0" collapsed="false">
      <c r="C14" s="4" t="s">
        <v>239</v>
      </c>
      <c r="D14" s="47" t="n">
        <f aca="false">IFERROR(XIRR(D6:D11,$C$6:$C$11),0)</f>
        <v>0.2136028400085</v>
      </c>
      <c r="E14" s="47" t="n">
        <f aca="false">IFERROR(XIRR(E6:E11,$C$6:$C$11),0)</f>
        <v>0.305830611487335</v>
      </c>
      <c r="F14" s="47" t="n">
        <f aca="false">IFERROR(XIRR(F6:F11,$C$6:$C$11),0)</f>
        <v>0.0248471358710571</v>
      </c>
      <c r="G14" s="47" t="n">
        <f aca="false">IFERROR(XIRR(G6:G11,$C$6:$C$11),0)</f>
        <v>0.118308999160896</v>
      </c>
      <c r="I14" s="47" t="n">
        <f aca="false">IFERROR(XIRR(I6:I11,H6:H11),0)</f>
        <v>0.445506855592146</v>
      </c>
    </row>
    <row r="15" customFormat="false" ht="28.5" hidden="false" customHeight="true" outlineLevel="0" collapsed="false">
      <c r="C15" s="5" t="s">
        <v>240</v>
      </c>
      <c r="D15" s="51" t="n">
        <f aca="false">'Exit Details'!K6</f>
        <v>1.80031304347826</v>
      </c>
      <c r="E15" s="51" t="n">
        <f aca="false">'Exit Details'!K7</f>
        <v>2.24706976744186</v>
      </c>
      <c r="F15" s="51" t="n">
        <f aca="false">'Exit Details'!K8</f>
        <v>1.077354</v>
      </c>
      <c r="G15" s="51" t="n">
        <f aca="false">Summary!G16</f>
        <v>1.40416192959583</v>
      </c>
      <c r="I15" s="51" t="n">
        <f aca="false">Summary!G17</f>
        <v>2.68327440792062</v>
      </c>
    </row>
    <row r="16" customFormat="false" ht="28.5" hidden="false" customHeight="true" outlineLevel="0" collapsed="false"/>
    <row r="17" customFormat="false" ht="37.5" hidden="false" customHeight="true" outlineLevel="0" collapsed="false">
      <c r="C17" s="38" t="s">
        <v>241</v>
      </c>
      <c r="D17" s="38"/>
      <c r="E17" s="38"/>
      <c r="F17" s="38"/>
      <c r="G17" s="38"/>
      <c r="H17" s="38"/>
      <c r="I17" s="38"/>
    </row>
    <row r="18" customFormat="false" ht="37.5" hidden="false" customHeight="true" outlineLevel="0" collapsed="false">
      <c r="C18" s="39" t="s">
        <v>242</v>
      </c>
      <c r="D18" s="39"/>
      <c r="E18" s="39"/>
      <c r="F18" s="39"/>
      <c r="G18" s="39"/>
      <c r="H18" s="39"/>
      <c r="I18" s="39"/>
    </row>
  </sheetData>
  <mergeCells count="3">
    <mergeCell ref="C2:I2"/>
    <mergeCell ref="C17:I17"/>
    <mergeCell ref="C18:I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1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1" width="3"/>
    <col collapsed="false" customWidth="true" hidden="false" outlineLevel="0" max="3" min="3" style="1" width="45"/>
    <col collapsed="false" customWidth="true" hidden="false" outlineLevel="0" max="8" min="4" style="1" width="18"/>
    <col collapsed="false" customWidth="true" hidden="false" outlineLevel="0" max="9" min="9" style="1" width="4"/>
    <col collapsed="false" customWidth="true" hidden="false" outlineLevel="0" max="15" min="10" style="1" width="15"/>
  </cols>
  <sheetData>
    <row r="1" customFormat="false" ht="15" hidden="false" customHeight="false" outlineLevel="0" collapsed="false">
      <c r="A1" s="7"/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customFormat="false" ht="36.75" hidden="false" customHeight="true" outlineLevel="0" collapsed="false">
      <c r="A2" s="7"/>
      <c r="B2" s="7"/>
      <c r="C2" s="9" t="s">
        <v>243</v>
      </c>
      <c r="D2" s="9"/>
      <c r="E2" s="9"/>
      <c r="F2" s="9"/>
      <c r="G2" s="9"/>
      <c r="H2" s="9"/>
      <c r="I2" s="8"/>
      <c r="J2" s="8"/>
      <c r="K2" s="8"/>
      <c r="L2" s="8"/>
      <c r="M2" s="8"/>
      <c r="N2" s="8"/>
      <c r="O2" s="8"/>
    </row>
    <row r="3" customFormat="false" ht="15" hidden="false" customHeight="false" outlineLevel="0" collapsed="false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customFormat="false" ht="24.75" hidden="false" customHeight="true" outlineLevel="0" collapsed="false">
      <c r="A4" s="7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customFormat="false" ht="30" hidden="false" customHeight="true" outlineLevel="0" collapsed="false">
      <c r="A5" s="7"/>
      <c r="B5" s="7"/>
      <c r="C5" s="12" t="s">
        <v>244</v>
      </c>
      <c r="D5" s="13" t="s">
        <v>245</v>
      </c>
      <c r="E5" s="13" t="s">
        <v>246</v>
      </c>
      <c r="F5" s="16"/>
      <c r="G5" s="16"/>
      <c r="H5" s="16"/>
      <c r="I5" s="8"/>
      <c r="J5" s="8"/>
      <c r="K5" s="8"/>
      <c r="L5" s="8"/>
      <c r="M5" s="8"/>
      <c r="N5" s="8"/>
      <c r="O5" s="8"/>
    </row>
    <row r="6" customFormat="false" ht="24.75" hidden="false" customHeight="true" outlineLevel="0" collapsed="false">
      <c r="A6" s="7"/>
      <c r="B6" s="7"/>
      <c r="C6" s="10" t="s">
        <v>247</v>
      </c>
      <c r="D6" s="52" t="n">
        <f aca="false">SUM(Terms!D13:D15)-7670000</f>
        <v>0</v>
      </c>
      <c r="E6" s="14" t="s">
        <v>248</v>
      </c>
      <c r="F6" s="16"/>
      <c r="G6" s="16"/>
      <c r="H6" s="16"/>
      <c r="I6" s="8"/>
      <c r="J6" s="8"/>
      <c r="K6" s="8"/>
      <c r="L6" s="8"/>
      <c r="M6" s="8"/>
      <c r="N6" s="8"/>
      <c r="O6" s="8"/>
    </row>
    <row r="7" customFormat="false" ht="24.75" hidden="false" customHeight="true" outlineLevel="0" collapsed="false">
      <c r="A7" s="7"/>
      <c r="B7" s="7"/>
      <c r="C7" s="10" t="s">
        <v>249</v>
      </c>
      <c r="D7" s="52" t="n">
        <f aca="false">SUM(Sources!D15:D17)-Sources!D18</f>
        <v>0</v>
      </c>
      <c r="E7" s="16"/>
      <c r="F7" s="16"/>
      <c r="G7" s="16"/>
      <c r="H7" s="16"/>
      <c r="I7" s="8"/>
      <c r="J7" s="8"/>
      <c r="K7" s="8"/>
      <c r="L7" s="8"/>
      <c r="M7" s="8"/>
      <c r="N7" s="8"/>
      <c r="O7" s="8"/>
    </row>
    <row r="8" customFormat="false" ht="24.75" hidden="false" customHeight="true" outlineLevel="0" collapsed="false">
      <c r="A8" s="7"/>
      <c r="B8" s="7"/>
      <c r="C8" s="10" t="s">
        <v>250</v>
      </c>
      <c r="D8" s="52" t="n">
        <f aca="false">SUM(Terms!D27:D29)-Terms!D26</f>
        <v>0</v>
      </c>
      <c r="E8" s="16"/>
      <c r="F8" s="16"/>
      <c r="G8" s="16"/>
      <c r="H8" s="16"/>
      <c r="I8" s="8"/>
      <c r="J8" s="8"/>
      <c r="K8" s="8"/>
      <c r="L8" s="8"/>
      <c r="M8" s="8"/>
      <c r="N8" s="8"/>
      <c r="O8" s="8"/>
    </row>
    <row r="9" customFormat="false" ht="24.75" hidden="false" customHeight="true" outlineLevel="0" collapsed="false">
      <c r="A9" s="7"/>
      <c r="B9" s="7"/>
      <c r="C9" s="10" t="s">
        <v>251</v>
      </c>
      <c r="D9" s="52" t="n">
        <f aca="false">Terms!D16-Sources!D15-Sources!D17-SUM(WOO!D21:F21)</f>
        <v>249314.299862628</v>
      </c>
      <c r="E9" s="14" t="s">
        <v>252</v>
      </c>
      <c r="F9" s="16"/>
      <c r="G9" s="16"/>
      <c r="H9" s="16"/>
      <c r="I9" s="8"/>
      <c r="J9" s="8"/>
      <c r="K9" s="8"/>
      <c r="L9" s="8"/>
      <c r="M9" s="8"/>
      <c r="N9" s="8"/>
      <c r="O9" s="8"/>
    </row>
    <row r="10" customFormat="false" ht="24.75" hidden="false" customHeight="true" outlineLevel="0" collapsed="false">
      <c r="A10" s="7"/>
      <c r="B10" s="7"/>
      <c r="C10" s="10" t="s">
        <v>253</v>
      </c>
      <c r="D10" s="52" t="n">
        <f aca="false">Terms!D16/Terms!G16-Terms!E16</f>
        <v>0</v>
      </c>
      <c r="E10" s="16"/>
      <c r="F10" s="16"/>
      <c r="G10" s="16"/>
      <c r="H10" s="16"/>
      <c r="I10" s="8"/>
      <c r="J10" s="8"/>
      <c r="K10" s="8"/>
      <c r="L10" s="8"/>
      <c r="M10" s="8"/>
      <c r="N10" s="8"/>
      <c r="O10" s="8"/>
    </row>
    <row r="11" customFormat="false" ht="24.75" hidden="false" customHeight="true" outlineLevel="0" collapsed="false">
      <c r="A11" s="7"/>
      <c r="B11" s="7"/>
      <c r="C11" s="10" t="s">
        <v>254</v>
      </c>
      <c r="D11" s="52" t="n">
        <f aca="false">SUM(Terms!G13:G15)-SUM(Terms!D13:D15)-SUM(Terms!F13:F15)</f>
        <v>0</v>
      </c>
      <c r="E11" s="16"/>
      <c r="F11" s="16"/>
      <c r="G11" s="16"/>
      <c r="H11" s="16"/>
      <c r="I11" s="8"/>
      <c r="J11" s="8"/>
      <c r="K11" s="8"/>
      <c r="L11" s="8"/>
      <c r="M11" s="8"/>
      <c r="N11" s="8"/>
      <c r="O11" s="8"/>
    </row>
    <row r="12" customFormat="false" ht="24.75" hidden="false" customHeight="true" outlineLevel="0" collapsed="false">
      <c r="A12" s="7"/>
      <c r="B12" s="7"/>
      <c r="C12" s="8"/>
      <c r="D12" s="16"/>
      <c r="E12" s="16"/>
      <c r="F12" s="16"/>
      <c r="G12" s="16"/>
      <c r="H12" s="16"/>
      <c r="I12" s="8"/>
      <c r="J12" s="8"/>
      <c r="K12" s="8"/>
      <c r="L12" s="8"/>
      <c r="M12" s="8"/>
      <c r="N12" s="8"/>
      <c r="O12" s="8"/>
    </row>
    <row r="13" customFormat="false" ht="24.75" hidden="false" customHeight="true" outlineLevel="0" collapsed="false">
      <c r="A13" s="7"/>
      <c r="B13" s="7"/>
      <c r="C13" s="10" t="s">
        <v>255</v>
      </c>
      <c r="D13" s="14" t="n">
        <f aca="false">Funding!D11-1</f>
        <v>0</v>
      </c>
      <c r="E13" s="14" t="s">
        <v>256</v>
      </c>
      <c r="F13" s="16"/>
      <c r="G13" s="16"/>
      <c r="H13" s="16"/>
      <c r="I13" s="8"/>
      <c r="J13" s="8"/>
      <c r="K13" s="8"/>
      <c r="L13" s="8"/>
      <c r="M13" s="8"/>
      <c r="N13" s="8"/>
      <c r="O13" s="8"/>
    </row>
    <row r="14" customFormat="false" ht="24.75" hidden="false" customHeight="true" outlineLevel="0" collapsed="false">
      <c r="A14" s="7"/>
      <c r="B14" s="7"/>
      <c r="C14" s="10" t="s">
        <v>257</v>
      </c>
      <c r="D14" s="14" t="n">
        <f aca="false">MAX('WOO Monthly'!Q6:Q41)</f>
        <v>715260.022828718</v>
      </c>
      <c r="E14" s="14" t="s">
        <v>258</v>
      </c>
      <c r="F14" s="16"/>
      <c r="G14" s="16"/>
      <c r="H14" s="16"/>
      <c r="I14" s="8"/>
      <c r="J14" s="8"/>
      <c r="K14" s="8"/>
      <c r="L14" s="8"/>
      <c r="M14" s="8"/>
      <c r="N14" s="8"/>
      <c r="O14" s="8"/>
    </row>
    <row r="15" customFormat="false" ht="24.75" hidden="false" customHeight="true" outlineLevel="0" collapsed="false">
      <c r="A15" s="7"/>
      <c r="B15" s="7"/>
      <c r="C15" s="10" t="s">
        <v>259</v>
      </c>
      <c r="D15" s="14" t="n">
        <f aca="false">MAX('Apps Monthly'!N6:N41)</f>
        <v>0</v>
      </c>
      <c r="E15" s="14" t="s">
        <v>260</v>
      </c>
      <c r="F15" s="16"/>
      <c r="G15" s="16"/>
      <c r="H15" s="16"/>
      <c r="I15" s="8"/>
      <c r="J15" s="8"/>
      <c r="K15" s="8"/>
      <c r="L15" s="8"/>
      <c r="M15" s="8"/>
      <c r="N15" s="8"/>
      <c r="O15" s="8"/>
    </row>
    <row r="16" customFormat="false" ht="24.75" hidden="false" customHeight="true" outlineLevel="0" collapsed="false">
      <c r="A16" s="7"/>
      <c r="B16" s="7"/>
      <c r="C16" s="10" t="s">
        <v>261</v>
      </c>
      <c r="D16" s="14" t="n">
        <f aca="false">MIN('WOO Monthly'!S6:S41)</f>
        <v>558548.023805656</v>
      </c>
      <c r="E16" s="14" t="s">
        <v>262</v>
      </c>
      <c r="F16" s="16"/>
      <c r="G16" s="16"/>
      <c r="H16" s="16"/>
      <c r="I16" s="8"/>
      <c r="J16" s="8"/>
      <c r="K16" s="8"/>
      <c r="L16" s="8"/>
      <c r="M16" s="8"/>
      <c r="N16" s="8"/>
      <c r="O16" s="8"/>
    </row>
    <row r="17" customFormat="false" ht="24.75" hidden="false" customHeight="true" outlineLevel="0" collapsed="false">
      <c r="A17" s="7"/>
      <c r="B17" s="7"/>
      <c r="C17" s="10" t="s">
        <v>263</v>
      </c>
      <c r="D17" s="14" t="n">
        <f aca="false">IF(AND(Funding!C6&lt;=Funding!C7,Funding!C7&lt;=Funding!C8),0,1)</f>
        <v>0</v>
      </c>
      <c r="E17" s="14" t="s">
        <v>264</v>
      </c>
      <c r="F17" s="16"/>
      <c r="G17" s="16"/>
      <c r="H17" s="16"/>
      <c r="I17" s="8"/>
      <c r="J17" s="8"/>
      <c r="K17" s="8"/>
      <c r="L17" s="8"/>
      <c r="M17" s="8"/>
      <c r="N17" s="8"/>
      <c r="O17" s="8"/>
    </row>
    <row r="18" customFormat="false" ht="24.75" hidden="false" customHeight="true" outlineLevel="0" collapsed="false">
      <c r="A18" s="7"/>
      <c r="B18" s="7"/>
      <c r="C18" s="10" t="s">
        <v>265</v>
      </c>
      <c r="D18" s="14" t="n">
        <f aca="false">WOO!F25-'WOO Monthly'!P41</f>
        <v>0</v>
      </c>
      <c r="E18" s="14" t="s">
        <v>266</v>
      </c>
      <c r="F18" s="16"/>
      <c r="G18" s="16"/>
      <c r="H18" s="16"/>
      <c r="I18" s="8"/>
      <c r="J18" s="8"/>
      <c r="K18" s="8"/>
      <c r="L18" s="8"/>
      <c r="M18" s="8"/>
      <c r="N18" s="8"/>
      <c r="O18" s="8"/>
    </row>
    <row r="19" customFormat="false" ht="24.75" hidden="false" customHeight="true" outlineLevel="0" collapsed="false">
      <c r="A19" s="7"/>
      <c r="B19" s="7"/>
      <c r="C19" s="10" t="s">
        <v>267</v>
      </c>
      <c r="D19" s="14" t="n">
        <f aca="false">Summary!F16-SUM('Exit Details'!I6:I8)</f>
        <v>0</v>
      </c>
      <c r="E19" s="14" t="s">
        <v>268</v>
      </c>
      <c r="F19" s="16"/>
      <c r="G19" s="16"/>
      <c r="H19" s="16"/>
      <c r="I19" s="8"/>
      <c r="J19" s="8"/>
      <c r="K19" s="8"/>
      <c r="L19" s="8"/>
      <c r="M19" s="8"/>
      <c r="N19" s="8"/>
      <c r="O19" s="8"/>
    </row>
    <row r="20" customFormat="false" ht="24.75" hidden="false" customHeight="true" outlineLevel="0" collapsed="false">
      <c r="A20" s="7"/>
      <c r="B20" s="7"/>
      <c r="C20" s="10" t="s">
        <v>269</v>
      </c>
      <c r="D20" s="14" t="n">
        <f aca="false">1260000+240000-Terms!D25</f>
        <v>0</v>
      </c>
      <c r="E20" s="14" t="s">
        <v>270</v>
      </c>
      <c r="F20" s="16"/>
      <c r="G20" s="16"/>
      <c r="H20" s="16"/>
      <c r="I20" s="8"/>
      <c r="J20" s="8"/>
      <c r="K20" s="8"/>
      <c r="L20" s="8"/>
      <c r="M20" s="8"/>
      <c r="N20" s="8"/>
      <c r="O20" s="8"/>
    </row>
    <row r="21" customFormat="false" ht="24.75" hidden="false" customHeight="true" outlineLevel="0" collapsed="false">
      <c r="A21" s="7"/>
      <c r="B21" s="7"/>
      <c r="C21" s="8"/>
      <c r="D21" s="16"/>
      <c r="E21" s="16"/>
      <c r="F21" s="16"/>
      <c r="G21" s="16"/>
      <c r="H21" s="16"/>
      <c r="I21" s="8"/>
      <c r="J21" s="8"/>
      <c r="K21" s="8"/>
      <c r="L21" s="8"/>
      <c r="M21" s="8"/>
      <c r="N21" s="8"/>
      <c r="O21" s="8"/>
    </row>
    <row r="22" customFormat="false" ht="24.75" hidden="false" customHeight="true" outlineLevel="0" collapsed="false">
      <c r="A22" s="7"/>
      <c r="B22" s="7"/>
      <c r="C22" s="8"/>
      <c r="D22" s="16"/>
      <c r="E22" s="16"/>
      <c r="F22" s="16"/>
      <c r="G22" s="16"/>
      <c r="H22" s="16"/>
      <c r="I22" s="8"/>
      <c r="J22" s="8"/>
      <c r="K22" s="8"/>
      <c r="L22" s="8"/>
      <c r="M22" s="8"/>
      <c r="N22" s="8"/>
      <c r="O22" s="8"/>
    </row>
    <row r="23" customFormat="false" ht="24.75" hidden="false" customHeight="true" outlineLevel="0" collapsed="false">
      <c r="A23" s="7"/>
      <c r="B23" s="7"/>
      <c r="C23" s="10" t="s">
        <v>271</v>
      </c>
      <c r="D23" s="16"/>
      <c r="E23" s="16"/>
      <c r="F23" s="16"/>
      <c r="G23" s="16"/>
      <c r="H23" s="16"/>
      <c r="I23" s="8"/>
      <c r="J23" s="8"/>
      <c r="K23" s="8"/>
      <c r="L23" s="8"/>
      <c r="M23" s="8"/>
      <c r="N23" s="8"/>
      <c r="O23" s="8"/>
    </row>
    <row r="24" customFormat="false" ht="24.75" hidden="false" customHeight="true" outlineLevel="0" collapsed="false">
      <c r="A24" s="7"/>
      <c r="B24" s="7"/>
      <c r="C24" s="10" t="s">
        <v>272</v>
      </c>
      <c r="D24" s="16"/>
      <c r="E24" s="16"/>
      <c r="F24" s="16"/>
      <c r="G24" s="16"/>
      <c r="H24" s="16"/>
      <c r="I24" s="8"/>
      <c r="J24" s="8"/>
      <c r="K24" s="8"/>
      <c r="L24" s="8"/>
      <c r="M24" s="8"/>
      <c r="N24" s="8"/>
      <c r="O24" s="8"/>
    </row>
    <row r="25" customFormat="false" ht="24.75" hidden="false" customHeight="true" outlineLevel="0" collapsed="false">
      <c r="A25" s="7"/>
      <c r="B25" s="7"/>
      <c r="C25" s="10" t="s">
        <v>273</v>
      </c>
      <c r="D25" s="16"/>
      <c r="E25" s="16"/>
      <c r="F25" s="16"/>
      <c r="G25" s="16"/>
      <c r="H25" s="16"/>
      <c r="I25" s="8"/>
      <c r="J25" s="8"/>
      <c r="K25" s="8"/>
      <c r="L25" s="8"/>
      <c r="M25" s="8"/>
      <c r="N25" s="8"/>
      <c r="O25" s="8"/>
    </row>
    <row r="26" customFormat="false" ht="24.75" hidden="false" customHeight="true" outlineLevel="0" collapsed="false">
      <c r="A26" s="7"/>
      <c r="B26" s="7"/>
      <c r="C26" s="8"/>
      <c r="D26" s="16"/>
      <c r="E26" s="16"/>
      <c r="F26" s="16"/>
      <c r="G26" s="16"/>
      <c r="H26" s="16"/>
      <c r="I26" s="8"/>
      <c r="J26" s="8"/>
      <c r="K26" s="8"/>
      <c r="L26" s="8"/>
      <c r="M26" s="8"/>
      <c r="N26" s="8"/>
      <c r="O26" s="8"/>
    </row>
    <row r="27" customFormat="false" ht="24.75" hidden="false" customHeight="true" outlineLevel="0" collapsed="false">
      <c r="A27" s="7"/>
      <c r="B27" s="7"/>
      <c r="C27" s="8"/>
      <c r="D27" s="16"/>
      <c r="E27" s="16"/>
      <c r="F27" s="16"/>
      <c r="G27" s="16"/>
      <c r="H27" s="16"/>
      <c r="I27" s="8"/>
      <c r="J27" s="8"/>
      <c r="K27" s="8"/>
      <c r="L27" s="8"/>
      <c r="M27" s="8"/>
      <c r="N27" s="8"/>
      <c r="O27" s="8"/>
    </row>
    <row r="28" customFormat="false" ht="24.75" hidden="false" customHeight="true" outlineLevel="0" collapsed="false">
      <c r="A28" s="7"/>
      <c r="B28" s="7"/>
      <c r="C28" s="8"/>
      <c r="D28" s="16"/>
      <c r="E28" s="16"/>
      <c r="F28" s="16"/>
      <c r="G28" s="16"/>
      <c r="H28" s="16"/>
      <c r="I28" s="8"/>
      <c r="J28" s="8"/>
      <c r="K28" s="8"/>
      <c r="L28" s="8"/>
      <c r="M28" s="8"/>
      <c r="N28" s="8"/>
      <c r="O28" s="8"/>
    </row>
    <row r="29" customFormat="false" ht="24.75" hidden="false" customHeight="true" outlineLevel="0" collapsed="false">
      <c r="A29" s="7"/>
      <c r="B29" s="7"/>
      <c r="C29" s="8"/>
      <c r="D29" s="16"/>
      <c r="E29" s="16"/>
      <c r="F29" s="16"/>
      <c r="G29" s="16"/>
      <c r="H29" s="16"/>
      <c r="I29" s="8"/>
      <c r="J29" s="8"/>
      <c r="K29" s="8"/>
      <c r="L29" s="8"/>
      <c r="M29" s="8"/>
      <c r="N29" s="8"/>
      <c r="O29" s="8"/>
    </row>
    <row r="30" customFormat="false" ht="24.75" hidden="false" customHeight="true" outlineLevel="0" collapsed="false">
      <c r="A30" s="7"/>
      <c r="B30" s="7"/>
      <c r="C30" s="8"/>
      <c r="D30" s="16"/>
      <c r="E30" s="16"/>
      <c r="F30" s="16"/>
      <c r="G30" s="16"/>
      <c r="H30" s="16"/>
      <c r="I30" s="8"/>
      <c r="J30" s="8"/>
      <c r="K30" s="8"/>
      <c r="L30" s="8"/>
      <c r="M30" s="8"/>
      <c r="N30" s="8"/>
      <c r="O30" s="8"/>
    </row>
    <row r="31" customFormat="false" ht="24.75" hidden="false" customHeight="true" outlineLevel="0" collapsed="false">
      <c r="A31" s="7"/>
      <c r="B31" s="7"/>
      <c r="C31" s="8"/>
      <c r="D31" s="16"/>
      <c r="E31" s="16"/>
      <c r="F31" s="16"/>
      <c r="G31" s="16"/>
      <c r="H31" s="16"/>
      <c r="I31" s="8"/>
      <c r="J31" s="8"/>
      <c r="K31" s="8"/>
      <c r="L31" s="8"/>
      <c r="M31" s="8"/>
      <c r="N31" s="8"/>
      <c r="O31" s="8"/>
    </row>
    <row r="32" customFormat="false" ht="24.75" hidden="false" customHeight="true" outlineLevel="0" collapsed="false">
      <c r="A32" s="7"/>
      <c r="B32" s="7"/>
      <c r="C32" s="8"/>
      <c r="D32" s="16"/>
      <c r="E32" s="16"/>
      <c r="F32" s="16"/>
      <c r="G32" s="16"/>
      <c r="H32" s="16"/>
      <c r="I32" s="8"/>
      <c r="J32" s="8"/>
      <c r="K32" s="8"/>
      <c r="L32" s="8"/>
      <c r="M32" s="8"/>
      <c r="N32" s="8"/>
      <c r="O32" s="8"/>
    </row>
    <row r="33" customFormat="false" ht="24.75" hidden="false" customHeight="true" outlineLevel="0" collapsed="false">
      <c r="A33" s="7"/>
      <c r="B33" s="7"/>
      <c r="C33" s="8"/>
      <c r="D33" s="16"/>
      <c r="E33" s="16"/>
      <c r="F33" s="16"/>
      <c r="G33" s="16"/>
      <c r="H33" s="16"/>
      <c r="I33" s="8"/>
      <c r="J33" s="8"/>
      <c r="K33" s="8"/>
      <c r="L33" s="8"/>
      <c r="M33" s="8"/>
      <c r="N33" s="8"/>
      <c r="O33" s="8"/>
    </row>
    <row r="34" customFormat="false" ht="24.75" hidden="false" customHeight="true" outlineLevel="0" collapsed="false">
      <c r="A34" s="7"/>
      <c r="B34" s="7"/>
      <c r="C34" s="8"/>
      <c r="D34" s="16"/>
      <c r="E34" s="16"/>
      <c r="F34" s="16"/>
      <c r="G34" s="16"/>
      <c r="H34" s="16"/>
      <c r="I34" s="8"/>
      <c r="J34" s="8"/>
      <c r="K34" s="8"/>
      <c r="L34" s="8"/>
      <c r="M34" s="8"/>
      <c r="N34" s="8"/>
      <c r="O34" s="8"/>
    </row>
    <row r="35" customFormat="false" ht="24.75" hidden="false" customHeight="true" outlineLevel="0" collapsed="false">
      <c r="A35" s="7"/>
      <c r="B35" s="7"/>
      <c r="C35" s="8"/>
      <c r="D35" s="16"/>
      <c r="E35" s="16"/>
      <c r="F35" s="16"/>
      <c r="G35" s="16"/>
      <c r="H35" s="16"/>
      <c r="I35" s="8"/>
      <c r="J35" s="8"/>
      <c r="K35" s="8"/>
      <c r="L35" s="8"/>
      <c r="M35" s="8"/>
      <c r="N35" s="8"/>
      <c r="O35" s="8"/>
    </row>
    <row r="36" customFormat="false" ht="24.75" hidden="false" customHeight="true" outlineLevel="0" collapsed="false">
      <c r="A36" s="7"/>
      <c r="B36" s="7"/>
      <c r="C36" s="8"/>
      <c r="D36" s="16"/>
      <c r="E36" s="16"/>
      <c r="F36" s="16"/>
      <c r="G36" s="16"/>
      <c r="H36" s="16"/>
      <c r="I36" s="8"/>
      <c r="J36" s="8"/>
      <c r="K36" s="8"/>
      <c r="L36" s="8"/>
      <c r="M36" s="8"/>
      <c r="N36" s="8"/>
      <c r="O36" s="8"/>
    </row>
    <row r="37" customFormat="false" ht="24.75" hidden="false" customHeight="true" outlineLevel="0" collapsed="false">
      <c r="A37" s="7"/>
      <c r="B37" s="7"/>
      <c r="C37" s="8"/>
      <c r="D37" s="16"/>
      <c r="E37" s="16"/>
      <c r="F37" s="16"/>
      <c r="G37" s="16"/>
      <c r="H37" s="16"/>
      <c r="I37" s="8"/>
      <c r="J37" s="8"/>
      <c r="K37" s="8"/>
      <c r="L37" s="8"/>
      <c r="M37" s="8"/>
      <c r="N37" s="8"/>
      <c r="O37" s="8"/>
    </row>
    <row r="38" customFormat="false" ht="24.75" hidden="false" customHeight="true" outlineLevel="0" collapsed="false">
      <c r="A38" s="7"/>
      <c r="B38" s="7"/>
      <c r="C38" s="8"/>
      <c r="D38" s="16"/>
      <c r="E38" s="16"/>
      <c r="F38" s="16"/>
      <c r="G38" s="16"/>
      <c r="H38" s="16"/>
      <c r="I38" s="8"/>
      <c r="J38" s="8"/>
      <c r="K38" s="8"/>
      <c r="L38" s="8"/>
      <c r="M38" s="8"/>
      <c r="N38" s="8"/>
      <c r="O38" s="8"/>
    </row>
    <row r="39" customFormat="false" ht="24.75" hidden="false" customHeight="true" outlineLevel="0" collapsed="false">
      <c r="A39" s="7"/>
      <c r="B39" s="7"/>
      <c r="C39" s="8"/>
      <c r="D39" s="16"/>
      <c r="E39" s="16"/>
      <c r="F39" s="16"/>
      <c r="G39" s="16"/>
      <c r="H39" s="16"/>
      <c r="I39" s="8"/>
      <c r="J39" s="8"/>
      <c r="K39" s="8"/>
      <c r="L39" s="8"/>
      <c r="M39" s="8"/>
      <c r="N39" s="8"/>
      <c r="O39" s="8"/>
    </row>
    <row r="40" customFormat="false" ht="24.75" hidden="false" customHeight="true" outlineLevel="0" collapsed="false">
      <c r="A40" s="7"/>
      <c r="B40" s="7"/>
      <c r="C40" s="8"/>
      <c r="D40" s="16"/>
      <c r="E40" s="16"/>
      <c r="F40" s="16"/>
      <c r="G40" s="16"/>
      <c r="H40" s="16"/>
      <c r="I40" s="8"/>
      <c r="J40" s="8"/>
      <c r="K40" s="8"/>
      <c r="L40" s="8"/>
      <c r="M40" s="8"/>
      <c r="N40" s="8"/>
      <c r="O40" s="8"/>
    </row>
    <row r="41" customFormat="false" ht="24.75" hidden="false" customHeight="true" outlineLevel="0" collapsed="false">
      <c r="A41" s="7"/>
      <c r="B41" s="7"/>
      <c r="C41" s="8"/>
      <c r="D41" s="16"/>
      <c r="E41" s="16"/>
      <c r="F41" s="16"/>
      <c r="G41" s="16"/>
      <c r="H41" s="16"/>
      <c r="I41" s="8"/>
      <c r="J41" s="8"/>
      <c r="K41" s="8"/>
      <c r="L41" s="8"/>
      <c r="M41" s="8"/>
      <c r="N41" s="8"/>
      <c r="O41" s="8"/>
    </row>
    <row r="42" customFormat="false" ht="24.75" hidden="false" customHeight="true" outlineLevel="0" collapsed="false">
      <c r="A42" s="7"/>
      <c r="B42" s="7"/>
      <c r="C42" s="8"/>
      <c r="D42" s="16"/>
      <c r="E42" s="16"/>
      <c r="F42" s="16"/>
      <c r="G42" s="16"/>
      <c r="H42" s="16"/>
      <c r="I42" s="8"/>
      <c r="J42" s="8"/>
      <c r="K42" s="8"/>
      <c r="L42" s="8"/>
      <c r="M42" s="8"/>
      <c r="N42" s="8"/>
      <c r="O42" s="8"/>
    </row>
    <row r="43" customFormat="false" ht="24.75" hidden="false" customHeight="true" outlineLevel="0" collapsed="false">
      <c r="A43" s="7"/>
      <c r="B43" s="7"/>
      <c r="C43" s="8"/>
      <c r="D43" s="16"/>
      <c r="E43" s="16"/>
      <c r="F43" s="16"/>
      <c r="G43" s="16"/>
      <c r="H43" s="16"/>
      <c r="I43" s="8"/>
      <c r="J43" s="8"/>
      <c r="K43" s="8"/>
      <c r="L43" s="8"/>
      <c r="M43" s="8"/>
      <c r="N43" s="8"/>
      <c r="O43" s="8"/>
    </row>
    <row r="44" customFormat="false" ht="24.75" hidden="false" customHeight="true" outlineLevel="0" collapsed="false">
      <c r="A44" s="7"/>
      <c r="B44" s="7"/>
      <c r="C44" s="8"/>
      <c r="D44" s="16"/>
      <c r="E44" s="16"/>
      <c r="F44" s="16"/>
      <c r="G44" s="16"/>
      <c r="H44" s="16"/>
      <c r="I44" s="8"/>
      <c r="J44" s="8"/>
      <c r="K44" s="8"/>
      <c r="L44" s="8"/>
      <c r="M44" s="8"/>
      <c r="N44" s="8"/>
      <c r="O44" s="8"/>
    </row>
    <row r="45" customFormat="false" ht="24.75" hidden="false" customHeight="true" outlineLevel="0" collapsed="false">
      <c r="A45" s="7"/>
      <c r="B45" s="7"/>
      <c r="C45" s="8"/>
      <c r="D45" s="16"/>
      <c r="E45" s="16"/>
      <c r="F45" s="16"/>
      <c r="G45" s="16"/>
      <c r="H45" s="16"/>
      <c r="I45" s="8"/>
      <c r="J45" s="8"/>
      <c r="K45" s="8"/>
      <c r="L45" s="8"/>
      <c r="M45" s="8"/>
      <c r="N45" s="8"/>
      <c r="O45" s="8"/>
    </row>
    <row r="46" customFormat="false" ht="24.75" hidden="false" customHeight="true" outlineLevel="0" collapsed="false">
      <c r="A46" s="7"/>
      <c r="B46" s="7"/>
      <c r="C46" s="8"/>
      <c r="D46" s="16"/>
      <c r="E46" s="16"/>
      <c r="F46" s="16"/>
      <c r="G46" s="16"/>
      <c r="H46" s="16"/>
      <c r="I46" s="8"/>
      <c r="J46" s="8"/>
      <c r="K46" s="8"/>
      <c r="L46" s="8"/>
      <c r="M46" s="8"/>
      <c r="N46" s="8"/>
      <c r="O46" s="8"/>
    </row>
    <row r="47" customFormat="false" ht="24.75" hidden="false" customHeight="true" outlineLevel="0" collapsed="false">
      <c r="A47" s="7"/>
      <c r="B47" s="7"/>
      <c r="C47" s="8"/>
      <c r="D47" s="16"/>
      <c r="E47" s="16"/>
      <c r="F47" s="16"/>
      <c r="G47" s="16"/>
      <c r="H47" s="16"/>
      <c r="I47" s="8"/>
      <c r="J47" s="8"/>
      <c r="K47" s="8"/>
      <c r="L47" s="8"/>
      <c r="M47" s="8"/>
      <c r="N47" s="8"/>
      <c r="O47" s="8"/>
    </row>
    <row r="48" customFormat="false" ht="24.75" hidden="false" customHeight="true" outlineLevel="0" collapsed="false">
      <c r="A48" s="7"/>
      <c r="B48" s="7"/>
      <c r="C48" s="8"/>
      <c r="D48" s="16"/>
      <c r="E48" s="16"/>
      <c r="F48" s="16"/>
      <c r="G48" s="16"/>
      <c r="H48" s="16"/>
      <c r="I48" s="8"/>
      <c r="J48" s="8"/>
      <c r="K48" s="8"/>
      <c r="L48" s="8"/>
      <c r="M48" s="8"/>
      <c r="N48" s="8"/>
      <c r="O48" s="8"/>
    </row>
    <row r="49" customFormat="false" ht="24.75" hidden="false" customHeight="true" outlineLevel="0" collapsed="false">
      <c r="A49" s="7"/>
      <c r="B49" s="7"/>
      <c r="C49" s="8"/>
      <c r="D49" s="16"/>
      <c r="E49" s="16"/>
      <c r="F49" s="16"/>
      <c r="G49" s="16"/>
      <c r="H49" s="16"/>
      <c r="I49" s="8"/>
      <c r="J49" s="8"/>
      <c r="K49" s="8"/>
      <c r="L49" s="8"/>
      <c r="M49" s="8"/>
      <c r="N49" s="8"/>
      <c r="O49" s="8"/>
    </row>
    <row r="50" customFormat="false" ht="24.75" hidden="false" customHeight="true" outlineLevel="0" collapsed="false">
      <c r="A50" s="7"/>
      <c r="B50" s="7"/>
      <c r="C50" s="8"/>
      <c r="D50" s="16"/>
      <c r="E50" s="16"/>
      <c r="F50" s="16"/>
      <c r="G50" s="16"/>
      <c r="H50" s="16"/>
      <c r="I50" s="8"/>
      <c r="J50" s="8"/>
      <c r="K50" s="8"/>
      <c r="L50" s="8"/>
      <c r="M50" s="8"/>
      <c r="N50" s="8"/>
      <c r="O50" s="8"/>
    </row>
    <row r="51" customFormat="false" ht="24.75" hidden="false" customHeight="true" outlineLevel="0" collapsed="false">
      <c r="A51" s="7"/>
      <c r="B51" s="7"/>
      <c r="C51" s="8"/>
      <c r="D51" s="16"/>
      <c r="E51" s="16"/>
      <c r="F51" s="16"/>
      <c r="G51" s="16"/>
      <c r="H51" s="16"/>
      <c r="I51" s="8"/>
      <c r="J51" s="8"/>
      <c r="K51" s="8"/>
      <c r="L51" s="8"/>
      <c r="M51" s="8"/>
      <c r="N51" s="8"/>
      <c r="O51" s="8"/>
    </row>
    <row r="52" customFormat="false" ht="24.75" hidden="false" customHeight="true" outlineLevel="0" collapsed="false">
      <c r="A52" s="7"/>
      <c r="B52" s="7"/>
      <c r="C52" s="8"/>
      <c r="D52" s="16"/>
      <c r="E52" s="16"/>
      <c r="F52" s="16"/>
      <c r="G52" s="16"/>
      <c r="H52" s="16"/>
      <c r="I52" s="8"/>
      <c r="J52" s="8"/>
      <c r="K52" s="8"/>
      <c r="L52" s="8"/>
      <c r="M52" s="8"/>
      <c r="N52" s="8"/>
      <c r="O52" s="8"/>
    </row>
    <row r="53" customFormat="false" ht="24.75" hidden="false" customHeight="true" outlineLevel="0" collapsed="false">
      <c r="A53" s="7"/>
      <c r="B53" s="7"/>
      <c r="C53" s="8"/>
      <c r="D53" s="16"/>
      <c r="E53" s="16"/>
      <c r="F53" s="16"/>
      <c r="G53" s="16"/>
      <c r="H53" s="16"/>
      <c r="I53" s="8"/>
      <c r="J53" s="8"/>
      <c r="K53" s="8"/>
      <c r="L53" s="8"/>
      <c r="M53" s="8"/>
      <c r="N53" s="8"/>
      <c r="O53" s="8"/>
    </row>
    <row r="54" customFormat="false" ht="24.75" hidden="false" customHeight="true" outlineLevel="0" collapsed="false">
      <c r="A54" s="7"/>
      <c r="B54" s="7"/>
      <c r="C54" s="8"/>
      <c r="D54" s="16"/>
      <c r="E54" s="16"/>
      <c r="F54" s="16"/>
      <c r="G54" s="16"/>
      <c r="H54" s="16"/>
      <c r="I54" s="8"/>
      <c r="J54" s="8"/>
      <c r="K54" s="8"/>
      <c r="L54" s="8"/>
      <c r="M54" s="8"/>
      <c r="N54" s="8"/>
      <c r="O54" s="8"/>
    </row>
    <row r="55" customFormat="false" ht="24.75" hidden="false" customHeight="true" outlineLevel="0" collapsed="false">
      <c r="A55" s="7"/>
      <c r="B55" s="7"/>
      <c r="C55" s="8"/>
      <c r="D55" s="16"/>
      <c r="E55" s="16"/>
      <c r="F55" s="16"/>
      <c r="G55" s="16"/>
      <c r="H55" s="16"/>
      <c r="I55" s="8"/>
      <c r="J55" s="8"/>
      <c r="K55" s="8"/>
      <c r="L55" s="8"/>
      <c r="M55" s="8"/>
      <c r="N55" s="8"/>
      <c r="O55" s="8"/>
    </row>
    <row r="56" customFormat="false" ht="24.75" hidden="false" customHeight="true" outlineLevel="0" collapsed="false">
      <c r="A56" s="7"/>
      <c r="B56" s="7"/>
      <c r="C56" s="8"/>
      <c r="D56" s="16"/>
      <c r="E56" s="16"/>
      <c r="F56" s="16"/>
      <c r="G56" s="16"/>
      <c r="H56" s="16"/>
      <c r="I56" s="8"/>
      <c r="J56" s="8"/>
      <c r="K56" s="8"/>
      <c r="L56" s="8"/>
      <c r="M56" s="8"/>
      <c r="N56" s="8"/>
      <c r="O56" s="8"/>
    </row>
    <row r="57" customFormat="false" ht="24.75" hidden="false" customHeight="true" outlineLevel="0" collapsed="false">
      <c r="A57" s="7"/>
      <c r="B57" s="7"/>
      <c r="C57" s="8"/>
      <c r="D57" s="16"/>
      <c r="E57" s="16"/>
      <c r="F57" s="16"/>
      <c r="G57" s="16"/>
      <c r="H57" s="16"/>
      <c r="I57" s="8"/>
      <c r="J57" s="8"/>
      <c r="K57" s="8"/>
      <c r="L57" s="8"/>
      <c r="M57" s="8"/>
      <c r="N57" s="8"/>
      <c r="O57" s="8"/>
    </row>
    <row r="58" customFormat="false" ht="24.75" hidden="false" customHeight="true" outlineLevel="0" collapsed="false">
      <c r="A58" s="7"/>
      <c r="B58" s="7"/>
      <c r="C58" s="8"/>
      <c r="D58" s="16"/>
      <c r="E58" s="16"/>
      <c r="F58" s="16"/>
      <c r="G58" s="16"/>
      <c r="H58" s="16"/>
      <c r="I58" s="8"/>
      <c r="J58" s="8"/>
      <c r="K58" s="8"/>
      <c r="L58" s="8"/>
      <c r="M58" s="8"/>
      <c r="N58" s="8"/>
      <c r="O58" s="8"/>
    </row>
    <row r="59" customFormat="false" ht="24.75" hidden="false" customHeight="true" outlineLevel="0" collapsed="false">
      <c r="A59" s="7"/>
      <c r="B59" s="7"/>
      <c r="C59" s="8"/>
      <c r="D59" s="16"/>
      <c r="E59" s="16"/>
      <c r="F59" s="16"/>
      <c r="G59" s="16"/>
      <c r="H59" s="16"/>
      <c r="I59" s="8"/>
      <c r="J59" s="8"/>
      <c r="K59" s="8"/>
      <c r="L59" s="8"/>
      <c r="M59" s="8"/>
      <c r="N59" s="8"/>
      <c r="O59" s="8"/>
    </row>
    <row r="60" customFormat="false" ht="24.75" hidden="false" customHeight="true" outlineLevel="0" collapsed="false">
      <c r="A60" s="7"/>
      <c r="B60" s="7"/>
      <c r="C60" s="8"/>
      <c r="D60" s="16"/>
      <c r="E60" s="16"/>
      <c r="F60" s="16"/>
      <c r="G60" s="16"/>
      <c r="H60" s="16"/>
      <c r="I60" s="8"/>
      <c r="J60" s="8"/>
      <c r="K60" s="8"/>
      <c r="L60" s="8"/>
      <c r="M60" s="8"/>
      <c r="N60" s="8"/>
      <c r="O60" s="8"/>
    </row>
    <row r="61" customFormat="false" ht="24.75" hidden="false" customHeight="true" outlineLevel="0" collapsed="false">
      <c r="A61" s="7"/>
      <c r="B61" s="7"/>
      <c r="C61" s="8"/>
      <c r="D61" s="16"/>
      <c r="E61" s="16"/>
      <c r="F61" s="16"/>
      <c r="G61" s="16"/>
      <c r="H61" s="16"/>
      <c r="I61" s="8"/>
      <c r="J61" s="8"/>
      <c r="K61" s="8"/>
      <c r="L61" s="8"/>
      <c r="M61" s="8"/>
      <c r="N61" s="8"/>
      <c r="O61" s="8"/>
    </row>
    <row r="62" customFormat="false" ht="24.75" hidden="false" customHeight="true" outlineLevel="0" collapsed="false">
      <c r="A62" s="7"/>
      <c r="B62" s="7"/>
      <c r="C62" s="8"/>
      <c r="D62" s="16"/>
      <c r="E62" s="16"/>
      <c r="F62" s="16"/>
      <c r="G62" s="16"/>
      <c r="H62" s="16"/>
      <c r="I62" s="8"/>
      <c r="J62" s="8"/>
      <c r="K62" s="8"/>
      <c r="L62" s="8"/>
      <c r="M62" s="8"/>
      <c r="N62" s="8"/>
      <c r="O62" s="8"/>
    </row>
    <row r="63" customFormat="false" ht="24.75" hidden="false" customHeight="true" outlineLevel="0" collapsed="false">
      <c r="A63" s="7"/>
      <c r="B63" s="7"/>
      <c r="C63" s="8"/>
      <c r="D63" s="16"/>
      <c r="E63" s="16"/>
      <c r="F63" s="16"/>
      <c r="G63" s="16"/>
      <c r="H63" s="16"/>
      <c r="I63" s="8"/>
      <c r="J63" s="8"/>
      <c r="K63" s="8"/>
      <c r="L63" s="8"/>
      <c r="M63" s="8"/>
      <c r="N63" s="8"/>
      <c r="O63" s="8"/>
    </row>
    <row r="64" customFormat="false" ht="24.75" hidden="false" customHeight="true" outlineLevel="0" collapsed="false">
      <c r="A64" s="7"/>
      <c r="B64" s="7"/>
      <c r="C64" s="8"/>
      <c r="D64" s="16"/>
      <c r="E64" s="16"/>
      <c r="F64" s="16"/>
      <c r="G64" s="16"/>
      <c r="H64" s="16"/>
      <c r="I64" s="8"/>
      <c r="J64" s="8"/>
      <c r="K64" s="8"/>
      <c r="L64" s="8"/>
      <c r="M64" s="8"/>
      <c r="N64" s="8"/>
      <c r="O64" s="8"/>
    </row>
    <row r="65" customFormat="false" ht="24.75" hidden="false" customHeight="true" outlineLevel="0" collapsed="false">
      <c r="A65" s="7"/>
      <c r="B65" s="7"/>
      <c r="C65" s="8"/>
      <c r="D65" s="16"/>
      <c r="E65" s="16"/>
      <c r="F65" s="16"/>
      <c r="G65" s="16"/>
      <c r="H65" s="16"/>
      <c r="I65" s="8"/>
      <c r="J65" s="8"/>
      <c r="K65" s="8"/>
      <c r="L65" s="8"/>
      <c r="M65" s="8"/>
      <c r="N65" s="8"/>
      <c r="O65" s="8"/>
    </row>
    <row r="66" customFormat="false" ht="24.75" hidden="false" customHeight="true" outlineLevel="0" collapsed="false">
      <c r="A66" s="7"/>
      <c r="B66" s="7"/>
      <c r="C66" s="8"/>
      <c r="D66" s="16"/>
      <c r="E66" s="16"/>
      <c r="F66" s="16"/>
      <c r="G66" s="16"/>
      <c r="H66" s="16"/>
      <c r="I66" s="8"/>
      <c r="J66" s="8"/>
      <c r="K66" s="8"/>
      <c r="L66" s="8"/>
      <c r="M66" s="8"/>
      <c r="N66" s="8"/>
      <c r="O66" s="8"/>
    </row>
    <row r="67" customFormat="false" ht="24.75" hidden="false" customHeight="true" outlineLevel="0" collapsed="false">
      <c r="A67" s="7"/>
      <c r="B67" s="7"/>
      <c r="C67" s="8"/>
      <c r="D67" s="16"/>
      <c r="E67" s="16"/>
      <c r="F67" s="16"/>
      <c r="G67" s="16"/>
      <c r="H67" s="16"/>
      <c r="I67" s="8"/>
      <c r="J67" s="8"/>
      <c r="K67" s="8"/>
      <c r="L67" s="8"/>
      <c r="M67" s="8"/>
      <c r="N67" s="8"/>
      <c r="O67" s="8"/>
    </row>
    <row r="68" customFormat="false" ht="24.75" hidden="false" customHeight="true" outlineLevel="0" collapsed="false">
      <c r="A68" s="7"/>
      <c r="B68" s="7"/>
      <c r="C68" s="8"/>
      <c r="D68" s="16"/>
      <c r="E68" s="16"/>
      <c r="F68" s="16"/>
      <c r="G68" s="16"/>
      <c r="H68" s="16"/>
      <c r="I68" s="8"/>
      <c r="J68" s="8"/>
      <c r="K68" s="8"/>
      <c r="L68" s="8"/>
      <c r="M68" s="8"/>
      <c r="N68" s="8"/>
      <c r="O68" s="8"/>
    </row>
    <row r="69" customFormat="false" ht="24.75" hidden="false" customHeight="true" outlineLevel="0" collapsed="false">
      <c r="A69" s="7"/>
      <c r="B69" s="7"/>
      <c r="C69" s="8"/>
      <c r="D69" s="16"/>
      <c r="E69" s="16"/>
      <c r="F69" s="16"/>
      <c r="G69" s="16"/>
      <c r="H69" s="16"/>
      <c r="I69" s="8"/>
      <c r="J69" s="8"/>
      <c r="K69" s="8"/>
      <c r="L69" s="8"/>
      <c r="M69" s="8"/>
      <c r="N69" s="8"/>
      <c r="O69" s="8"/>
    </row>
    <row r="70" customFormat="false" ht="24.75" hidden="false" customHeight="true" outlineLevel="0" collapsed="false">
      <c r="A70" s="7"/>
      <c r="B70" s="7"/>
      <c r="C70" s="8"/>
      <c r="D70" s="16"/>
      <c r="E70" s="16"/>
      <c r="F70" s="16"/>
      <c r="G70" s="16"/>
      <c r="H70" s="16"/>
      <c r="I70" s="8"/>
      <c r="J70" s="8"/>
      <c r="K70" s="8"/>
      <c r="L70" s="8"/>
      <c r="M70" s="8"/>
      <c r="N70" s="8"/>
      <c r="O70" s="8"/>
    </row>
    <row r="71" customFormat="false" ht="24.75" hidden="false" customHeight="true" outlineLevel="0" collapsed="false">
      <c r="A71" s="7"/>
      <c r="B71" s="7"/>
      <c r="C71" s="8"/>
      <c r="D71" s="16"/>
      <c r="E71" s="16"/>
      <c r="F71" s="16"/>
      <c r="G71" s="16"/>
      <c r="H71" s="16"/>
      <c r="I71" s="8"/>
      <c r="J71" s="8"/>
      <c r="K71" s="8"/>
      <c r="L71" s="8"/>
      <c r="M71" s="8"/>
      <c r="N71" s="8"/>
      <c r="O71" s="8"/>
    </row>
    <row r="72" customFormat="false" ht="24.75" hidden="false" customHeight="true" outlineLevel="0" collapsed="false">
      <c r="A72" s="7"/>
      <c r="B72" s="7"/>
      <c r="C72" s="8"/>
      <c r="D72" s="16"/>
      <c r="E72" s="16"/>
      <c r="F72" s="16"/>
      <c r="G72" s="16"/>
      <c r="H72" s="16"/>
      <c r="I72" s="8"/>
      <c r="J72" s="8"/>
      <c r="K72" s="8"/>
      <c r="L72" s="8"/>
      <c r="M72" s="8"/>
      <c r="N72" s="8"/>
      <c r="O72" s="8"/>
    </row>
    <row r="73" customFormat="false" ht="24.75" hidden="false" customHeight="true" outlineLevel="0" collapsed="false">
      <c r="A73" s="7"/>
      <c r="B73" s="7"/>
      <c r="C73" s="8"/>
      <c r="D73" s="16"/>
      <c r="E73" s="16"/>
      <c r="F73" s="16"/>
      <c r="G73" s="16"/>
      <c r="H73" s="16"/>
      <c r="I73" s="8"/>
      <c r="J73" s="8"/>
      <c r="K73" s="8"/>
      <c r="L73" s="8"/>
      <c r="M73" s="8"/>
      <c r="N73" s="8"/>
      <c r="O73" s="8"/>
    </row>
    <row r="74" customFormat="false" ht="24.75" hidden="false" customHeight="true" outlineLevel="0" collapsed="false">
      <c r="A74" s="7"/>
      <c r="B74" s="7"/>
      <c r="C74" s="8"/>
      <c r="D74" s="16"/>
      <c r="E74" s="16"/>
      <c r="F74" s="16"/>
      <c r="G74" s="16"/>
      <c r="H74" s="16"/>
      <c r="I74" s="8"/>
      <c r="J74" s="8"/>
      <c r="K74" s="8"/>
      <c r="L74" s="8"/>
      <c r="M74" s="8"/>
      <c r="N74" s="8"/>
      <c r="O74" s="8"/>
    </row>
    <row r="75" customFormat="false" ht="24.75" hidden="false" customHeight="true" outlineLevel="0" collapsed="false">
      <c r="A75" s="7"/>
      <c r="B75" s="7"/>
      <c r="C75" s="8"/>
      <c r="D75" s="16"/>
      <c r="E75" s="16"/>
      <c r="F75" s="16"/>
      <c r="G75" s="16"/>
      <c r="H75" s="16"/>
      <c r="I75" s="8"/>
      <c r="J75" s="8"/>
      <c r="K75" s="8"/>
      <c r="L75" s="8"/>
      <c r="M75" s="8"/>
      <c r="N75" s="8"/>
      <c r="O75" s="8"/>
    </row>
    <row r="76" customFormat="false" ht="24.75" hidden="false" customHeight="true" outlineLevel="0" collapsed="false">
      <c r="A76" s="7"/>
      <c r="B76" s="7"/>
      <c r="C76" s="8"/>
      <c r="D76" s="16"/>
      <c r="E76" s="16"/>
      <c r="F76" s="16"/>
      <c r="G76" s="16"/>
      <c r="H76" s="16"/>
      <c r="I76" s="8"/>
      <c r="J76" s="8"/>
      <c r="K76" s="8"/>
      <c r="L76" s="8"/>
      <c r="M76" s="8"/>
      <c r="N76" s="8"/>
      <c r="O76" s="8"/>
    </row>
    <row r="77" customFormat="false" ht="24.75" hidden="false" customHeight="true" outlineLevel="0" collapsed="false">
      <c r="A77" s="7"/>
      <c r="B77" s="7"/>
      <c r="C77" s="8"/>
      <c r="D77" s="16"/>
      <c r="E77" s="16"/>
      <c r="F77" s="16"/>
      <c r="G77" s="16"/>
      <c r="H77" s="16"/>
      <c r="I77" s="8"/>
      <c r="J77" s="8"/>
      <c r="K77" s="8"/>
      <c r="L77" s="8"/>
      <c r="M77" s="8"/>
      <c r="N77" s="8"/>
      <c r="O77" s="8"/>
    </row>
    <row r="78" customFormat="false" ht="24.75" hidden="false" customHeight="true" outlineLevel="0" collapsed="false">
      <c r="A78" s="7"/>
      <c r="B78" s="7"/>
      <c r="C78" s="8"/>
      <c r="D78" s="16"/>
      <c r="E78" s="16"/>
      <c r="F78" s="16"/>
      <c r="G78" s="16"/>
      <c r="H78" s="16"/>
      <c r="I78" s="8"/>
      <c r="J78" s="8"/>
      <c r="K78" s="8"/>
      <c r="L78" s="8"/>
      <c r="M78" s="8"/>
      <c r="N78" s="8"/>
      <c r="O78" s="8"/>
    </row>
    <row r="79" customFormat="false" ht="24.75" hidden="false" customHeight="true" outlineLevel="0" collapsed="false">
      <c r="A79" s="7"/>
      <c r="B79" s="7"/>
      <c r="C79" s="8"/>
      <c r="D79" s="16"/>
      <c r="E79" s="16"/>
      <c r="F79" s="16"/>
      <c r="G79" s="16"/>
      <c r="H79" s="16"/>
      <c r="I79" s="8"/>
      <c r="J79" s="8"/>
      <c r="K79" s="8"/>
      <c r="L79" s="8"/>
      <c r="M79" s="8"/>
      <c r="N79" s="8"/>
      <c r="O79" s="8"/>
    </row>
    <row r="80" customFormat="false" ht="24.75" hidden="false" customHeight="true" outlineLevel="0" collapsed="false">
      <c r="A80" s="7"/>
      <c r="B80" s="7"/>
      <c r="C80" s="8"/>
      <c r="D80" s="16"/>
      <c r="E80" s="16"/>
      <c r="F80" s="16"/>
      <c r="G80" s="16"/>
      <c r="H80" s="16"/>
      <c r="I80" s="8"/>
      <c r="J80" s="8"/>
      <c r="K80" s="8"/>
      <c r="L80" s="8"/>
      <c r="M80" s="8"/>
      <c r="N80" s="8"/>
      <c r="O80" s="8"/>
    </row>
    <row r="81" customFormat="false" ht="24.75" hidden="false" customHeight="true" outlineLevel="0" collapsed="false">
      <c r="A81" s="7"/>
      <c r="B81" s="7"/>
      <c r="C81" s="8"/>
      <c r="D81" s="16"/>
      <c r="E81" s="16"/>
      <c r="F81" s="16"/>
      <c r="G81" s="16"/>
      <c r="H81" s="16"/>
      <c r="I81" s="8"/>
      <c r="J81" s="8"/>
      <c r="K81" s="8"/>
      <c r="L81" s="8"/>
      <c r="M81" s="8"/>
      <c r="N81" s="8"/>
      <c r="O81" s="8"/>
    </row>
    <row r="82" customFormat="false" ht="24.75" hidden="false" customHeight="true" outlineLevel="0" collapsed="false">
      <c r="A82" s="7"/>
      <c r="B82" s="7"/>
      <c r="C82" s="8"/>
      <c r="D82" s="16"/>
      <c r="E82" s="16"/>
      <c r="F82" s="16"/>
      <c r="G82" s="16"/>
      <c r="H82" s="16"/>
      <c r="I82" s="8"/>
      <c r="J82" s="8"/>
      <c r="K82" s="8"/>
      <c r="L82" s="8"/>
      <c r="M82" s="8"/>
      <c r="N82" s="8"/>
      <c r="O82" s="8"/>
    </row>
    <row r="83" customFormat="false" ht="24.75" hidden="false" customHeight="true" outlineLevel="0" collapsed="false">
      <c r="A83" s="7"/>
      <c r="B83" s="7"/>
      <c r="C83" s="8"/>
      <c r="D83" s="16"/>
      <c r="E83" s="16"/>
      <c r="F83" s="16"/>
      <c r="G83" s="16"/>
      <c r="H83" s="16"/>
      <c r="I83" s="8"/>
      <c r="J83" s="8"/>
      <c r="K83" s="8"/>
      <c r="L83" s="8"/>
      <c r="M83" s="8"/>
      <c r="N83" s="8"/>
      <c r="O83" s="8"/>
    </row>
    <row r="84" customFormat="false" ht="24.75" hidden="false" customHeight="true" outlineLevel="0" collapsed="false">
      <c r="A84" s="7"/>
      <c r="B84" s="7"/>
      <c r="C84" s="8"/>
      <c r="D84" s="16"/>
      <c r="E84" s="16"/>
      <c r="F84" s="16"/>
      <c r="G84" s="16"/>
      <c r="H84" s="16"/>
      <c r="I84" s="8"/>
      <c r="J84" s="8"/>
      <c r="K84" s="8"/>
      <c r="L84" s="8"/>
      <c r="M84" s="8"/>
      <c r="N84" s="8"/>
      <c r="O84" s="8"/>
    </row>
    <row r="85" customFormat="false" ht="24.75" hidden="false" customHeight="true" outlineLevel="0" collapsed="false">
      <c r="A85" s="7"/>
      <c r="B85" s="7"/>
      <c r="C85" s="8"/>
      <c r="D85" s="16"/>
      <c r="E85" s="16"/>
      <c r="F85" s="16"/>
      <c r="G85" s="16"/>
      <c r="H85" s="16"/>
      <c r="I85" s="8"/>
      <c r="J85" s="8"/>
      <c r="K85" s="8"/>
      <c r="L85" s="8"/>
      <c r="M85" s="8"/>
      <c r="N85" s="8"/>
      <c r="O85" s="8"/>
    </row>
    <row r="86" customFormat="false" ht="24.75" hidden="false" customHeight="true" outlineLevel="0" collapsed="false">
      <c r="A86" s="7"/>
      <c r="B86" s="7"/>
      <c r="C86" s="8"/>
      <c r="D86" s="16"/>
      <c r="E86" s="16"/>
      <c r="F86" s="16"/>
      <c r="G86" s="16"/>
      <c r="H86" s="16"/>
      <c r="I86" s="8"/>
      <c r="J86" s="8"/>
      <c r="K86" s="8"/>
      <c r="L86" s="8"/>
      <c r="M86" s="8"/>
      <c r="N86" s="8"/>
      <c r="O86" s="8"/>
    </row>
    <row r="87" customFormat="false" ht="24.75" hidden="false" customHeight="true" outlineLevel="0" collapsed="false">
      <c r="A87" s="7"/>
      <c r="B87" s="7"/>
      <c r="C87" s="8"/>
      <c r="D87" s="16"/>
      <c r="E87" s="16"/>
      <c r="F87" s="16"/>
      <c r="G87" s="16"/>
      <c r="H87" s="16"/>
      <c r="I87" s="8"/>
      <c r="J87" s="8"/>
      <c r="K87" s="8"/>
      <c r="L87" s="8"/>
      <c r="M87" s="8"/>
      <c r="N87" s="8"/>
      <c r="O87" s="8"/>
    </row>
    <row r="88" customFormat="false" ht="24.75" hidden="false" customHeight="true" outlineLevel="0" collapsed="false">
      <c r="A88" s="7"/>
      <c r="B88" s="7"/>
      <c r="C88" s="8"/>
      <c r="D88" s="16"/>
      <c r="E88" s="16"/>
      <c r="F88" s="16"/>
      <c r="G88" s="16"/>
      <c r="H88" s="16"/>
      <c r="I88" s="8"/>
      <c r="J88" s="8"/>
      <c r="K88" s="8"/>
      <c r="L88" s="8"/>
      <c r="M88" s="8"/>
      <c r="N88" s="8"/>
      <c r="O88" s="8"/>
    </row>
    <row r="89" customFormat="false" ht="24.75" hidden="false" customHeight="true" outlineLevel="0" collapsed="false">
      <c r="A89" s="7"/>
      <c r="B89" s="7"/>
      <c r="C89" s="8"/>
      <c r="D89" s="16"/>
      <c r="E89" s="16"/>
      <c r="F89" s="16"/>
      <c r="G89" s="16"/>
      <c r="H89" s="16"/>
      <c r="I89" s="8"/>
      <c r="J89" s="8"/>
      <c r="K89" s="8"/>
      <c r="L89" s="8"/>
      <c r="M89" s="8"/>
      <c r="N89" s="8"/>
      <c r="O89" s="8"/>
    </row>
    <row r="90" customFormat="false" ht="24.75" hidden="false" customHeight="true" outlineLevel="0" collapsed="false">
      <c r="A90" s="7"/>
      <c r="B90" s="7"/>
      <c r="C90" s="8"/>
      <c r="D90" s="16"/>
      <c r="E90" s="16"/>
      <c r="F90" s="16"/>
      <c r="G90" s="16"/>
      <c r="H90" s="16"/>
      <c r="I90" s="8"/>
      <c r="J90" s="8"/>
      <c r="K90" s="8"/>
      <c r="L90" s="8"/>
      <c r="M90" s="8"/>
      <c r="N90" s="8"/>
      <c r="O90" s="8"/>
    </row>
    <row r="91" customFormat="false" ht="24.75" hidden="false" customHeight="true" outlineLevel="0" collapsed="false">
      <c r="A91" s="7"/>
      <c r="B91" s="7"/>
      <c r="C91" s="8"/>
      <c r="D91" s="16"/>
      <c r="E91" s="16"/>
      <c r="F91" s="16"/>
      <c r="G91" s="16"/>
      <c r="H91" s="16"/>
      <c r="I91" s="8"/>
      <c r="J91" s="8"/>
      <c r="K91" s="8"/>
      <c r="L91" s="8"/>
      <c r="M91" s="8"/>
      <c r="N91" s="8"/>
      <c r="O91" s="8"/>
    </row>
    <row r="92" customFormat="false" ht="24.75" hidden="false" customHeight="true" outlineLevel="0" collapsed="false">
      <c r="A92" s="7"/>
      <c r="B92" s="7"/>
      <c r="C92" s="8"/>
      <c r="D92" s="16"/>
      <c r="E92" s="16"/>
      <c r="F92" s="16"/>
      <c r="G92" s="16"/>
      <c r="H92" s="16"/>
      <c r="I92" s="8"/>
      <c r="J92" s="8"/>
      <c r="K92" s="8"/>
      <c r="L92" s="8"/>
      <c r="M92" s="8"/>
      <c r="N92" s="8"/>
      <c r="O92" s="8"/>
    </row>
    <row r="93" customFormat="false" ht="24.75" hidden="false" customHeight="true" outlineLevel="0" collapsed="false">
      <c r="A93" s="7"/>
      <c r="B93" s="7"/>
      <c r="C93" s="8"/>
      <c r="D93" s="16"/>
      <c r="E93" s="16"/>
      <c r="F93" s="16"/>
      <c r="G93" s="16"/>
      <c r="H93" s="16"/>
      <c r="I93" s="8"/>
      <c r="J93" s="8"/>
      <c r="K93" s="8"/>
      <c r="L93" s="8"/>
      <c r="M93" s="8"/>
      <c r="N93" s="8"/>
      <c r="O93" s="8"/>
    </row>
    <row r="94" customFormat="false" ht="24.75" hidden="false" customHeight="true" outlineLevel="0" collapsed="false">
      <c r="A94" s="7"/>
      <c r="B94" s="7"/>
      <c r="C94" s="8"/>
      <c r="D94" s="16"/>
      <c r="E94" s="16"/>
      <c r="F94" s="16"/>
      <c r="G94" s="16"/>
      <c r="H94" s="16"/>
      <c r="I94" s="8"/>
      <c r="J94" s="8"/>
      <c r="K94" s="8"/>
      <c r="L94" s="8"/>
      <c r="M94" s="8"/>
      <c r="N94" s="8"/>
      <c r="O94" s="8"/>
    </row>
    <row r="95" customFormat="false" ht="24.75" hidden="false" customHeight="true" outlineLevel="0" collapsed="false">
      <c r="A95" s="7"/>
      <c r="B95" s="7"/>
      <c r="C95" s="8"/>
      <c r="D95" s="16"/>
      <c r="E95" s="16"/>
      <c r="F95" s="16"/>
      <c r="G95" s="16"/>
      <c r="H95" s="16"/>
      <c r="I95" s="8"/>
      <c r="J95" s="8"/>
      <c r="K95" s="8"/>
      <c r="L95" s="8"/>
      <c r="M95" s="8"/>
      <c r="N95" s="8"/>
      <c r="O95" s="8"/>
    </row>
    <row r="96" customFormat="false" ht="24.75" hidden="false" customHeight="true" outlineLevel="0" collapsed="false">
      <c r="A96" s="7"/>
      <c r="B96" s="7"/>
      <c r="C96" s="8"/>
      <c r="D96" s="16"/>
      <c r="E96" s="16"/>
      <c r="F96" s="16"/>
      <c r="G96" s="16"/>
      <c r="H96" s="16"/>
      <c r="I96" s="8"/>
      <c r="J96" s="8"/>
      <c r="K96" s="8"/>
      <c r="L96" s="8"/>
      <c r="M96" s="8"/>
      <c r="N96" s="8"/>
      <c r="O96" s="8"/>
    </row>
    <row r="97" customFormat="false" ht="24.75" hidden="false" customHeight="true" outlineLevel="0" collapsed="false">
      <c r="A97" s="7"/>
      <c r="B97" s="7"/>
      <c r="C97" s="8"/>
      <c r="D97" s="16"/>
      <c r="E97" s="16"/>
      <c r="F97" s="16"/>
      <c r="G97" s="16"/>
      <c r="H97" s="16"/>
      <c r="I97" s="8"/>
      <c r="J97" s="8"/>
      <c r="K97" s="8"/>
      <c r="L97" s="8"/>
      <c r="M97" s="8"/>
      <c r="N97" s="8"/>
      <c r="O97" s="8"/>
    </row>
    <row r="98" customFormat="false" ht="24.75" hidden="false" customHeight="true" outlineLevel="0" collapsed="false">
      <c r="A98" s="7"/>
      <c r="B98" s="7"/>
      <c r="C98" s="8"/>
      <c r="D98" s="16"/>
      <c r="E98" s="16"/>
      <c r="F98" s="16"/>
      <c r="G98" s="16"/>
      <c r="H98" s="16"/>
      <c r="I98" s="8"/>
      <c r="J98" s="8"/>
      <c r="K98" s="8"/>
      <c r="L98" s="8"/>
      <c r="M98" s="8"/>
      <c r="N98" s="8"/>
      <c r="O98" s="8"/>
    </row>
    <row r="99" customFormat="false" ht="24.75" hidden="false" customHeight="true" outlineLevel="0" collapsed="false">
      <c r="A99" s="7"/>
      <c r="B99" s="7"/>
      <c r="C99" s="8"/>
      <c r="D99" s="16"/>
      <c r="E99" s="16"/>
      <c r="F99" s="16"/>
      <c r="G99" s="16"/>
      <c r="H99" s="16"/>
      <c r="I99" s="8"/>
      <c r="J99" s="8"/>
      <c r="K99" s="8"/>
      <c r="L99" s="8"/>
      <c r="M99" s="8"/>
      <c r="N99" s="8"/>
      <c r="O99" s="8"/>
    </row>
    <row r="100" customFormat="false" ht="24.75" hidden="false" customHeight="true" outlineLevel="0" collapsed="false">
      <c r="A100" s="7"/>
      <c r="B100" s="7"/>
      <c r="C100" s="8"/>
      <c r="D100" s="16"/>
      <c r="E100" s="16"/>
      <c r="F100" s="16"/>
      <c r="G100" s="16"/>
      <c r="H100" s="16"/>
      <c r="I100" s="8"/>
      <c r="J100" s="8"/>
      <c r="K100" s="8"/>
      <c r="L100" s="8"/>
      <c r="M100" s="8"/>
      <c r="N100" s="8"/>
      <c r="O100" s="8"/>
    </row>
    <row r="101" customFormat="false" ht="24.75" hidden="false" customHeight="true" outlineLevel="0" collapsed="false">
      <c r="A101" s="7"/>
      <c r="B101" s="7"/>
      <c r="C101" s="8"/>
      <c r="D101" s="16"/>
      <c r="E101" s="16"/>
      <c r="F101" s="16"/>
      <c r="G101" s="16"/>
      <c r="H101" s="16"/>
      <c r="I101" s="8"/>
      <c r="J101" s="8"/>
      <c r="K101" s="8"/>
      <c r="L101" s="8"/>
      <c r="M101" s="8"/>
      <c r="N101" s="8"/>
      <c r="O101" s="8"/>
    </row>
    <row r="102" customFormat="false" ht="24.75" hidden="false" customHeight="true" outlineLevel="0" collapsed="false">
      <c r="A102" s="7"/>
      <c r="B102" s="7"/>
      <c r="C102" s="8"/>
      <c r="D102" s="16"/>
      <c r="E102" s="16"/>
      <c r="F102" s="16"/>
      <c r="G102" s="16"/>
      <c r="H102" s="16"/>
      <c r="I102" s="8"/>
      <c r="J102" s="8"/>
      <c r="K102" s="8"/>
      <c r="L102" s="8"/>
      <c r="M102" s="8"/>
      <c r="N102" s="8"/>
      <c r="O102" s="8"/>
    </row>
    <row r="103" customFormat="false" ht="24.75" hidden="false" customHeight="true" outlineLevel="0" collapsed="false">
      <c r="A103" s="7"/>
      <c r="B103" s="7"/>
      <c r="C103" s="8"/>
      <c r="D103" s="16"/>
      <c r="E103" s="16"/>
      <c r="F103" s="16"/>
      <c r="G103" s="16"/>
      <c r="H103" s="16"/>
      <c r="I103" s="8"/>
      <c r="J103" s="8"/>
      <c r="K103" s="8"/>
      <c r="L103" s="8"/>
      <c r="M103" s="8"/>
      <c r="N103" s="8"/>
      <c r="O103" s="8"/>
    </row>
    <row r="104" customFormat="false" ht="24.75" hidden="false" customHeight="true" outlineLevel="0" collapsed="false">
      <c r="A104" s="7"/>
      <c r="B104" s="7"/>
      <c r="C104" s="8"/>
      <c r="D104" s="16"/>
      <c r="E104" s="16"/>
      <c r="F104" s="16"/>
      <c r="G104" s="16"/>
      <c r="H104" s="16"/>
      <c r="I104" s="8"/>
      <c r="J104" s="8"/>
      <c r="K104" s="8"/>
      <c r="L104" s="8"/>
      <c r="M104" s="8"/>
      <c r="N104" s="8"/>
      <c r="O104" s="8"/>
    </row>
    <row r="105" customFormat="false" ht="24.75" hidden="false" customHeight="true" outlineLevel="0" collapsed="false">
      <c r="A105" s="7"/>
      <c r="B105" s="7"/>
      <c r="C105" s="8"/>
      <c r="D105" s="16"/>
      <c r="E105" s="16"/>
      <c r="F105" s="16"/>
      <c r="G105" s="16"/>
      <c r="H105" s="16"/>
      <c r="I105" s="8"/>
      <c r="J105" s="8"/>
      <c r="K105" s="8"/>
      <c r="L105" s="8"/>
      <c r="M105" s="8"/>
      <c r="N105" s="8"/>
      <c r="O105" s="8"/>
    </row>
    <row r="106" customFormat="false" ht="24.75" hidden="false" customHeight="true" outlineLevel="0" collapsed="false">
      <c r="A106" s="7"/>
      <c r="B106" s="7"/>
      <c r="C106" s="8"/>
      <c r="D106" s="16"/>
      <c r="E106" s="16"/>
      <c r="F106" s="16"/>
      <c r="G106" s="16"/>
      <c r="H106" s="16"/>
      <c r="I106" s="8"/>
      <c r="J106" s="8"/>
      <c r="K106" s="8"/>
      <c r="L106" s="8"/>
      <c r="M106" s="8"/>
      <c r="N106" s="8"/>
      <c r="O106" s="8"/>
    </row>
    <row r="107" customFormat="false" ht="24.75" hidden="false" customHeight="true" outlineLevel="0" collapsed="false">
      <c r="A107" s="7"/>
      <c r="B107" s="7"/>
      <c r="C107" s="8"/>
      <c r="D107" s="16"/>
      <c r="E107" s="16"/>
      <c r="F107" s="16"/>
      <c r="G107" s="16"/>
      <c r="H107" s="16"/>
      <c r="I107" s="8"/>
      <c r="J107" s="8"/>
      <c r="K107" s="8"/>
      <c r="L107" s="8"/>
      <c r="M107" s="8"/>
      <c r="N107" s="8"/>
      <c r="O107" s="8"/>
    </row>
    <row r="108" customFormat="false" ht="24.75" hidden="false" customHeight="true" outlineLevel="0" collapsed="false">
      <c r="A108" s="7"/>
      <c r="B108" s="7"/>
      <c r="C108" s="8"/>
      <c r="D108" s="16"/>
      <c r="E108" s="16"/>
      <c r="F108" s="16"/>
      <c r="G108" s="16"/>
      <c r="H108" s="16"/>
      <c r="I108" s="8"/>
      <c r="J108" s="8"/>
      <c r="K108" s="8"/>
      <c r="L108" s="8"/>
      <c r="M108" s="8"/>
      <c r="N108" s="8"/>
      <c r="O108" s="8"/>
    </row>
    <row r="109" customFormat="false" ht="24.75" hidden="false" customHeight="true" outlineLevel="0" collapsed="false">
      <c r="A109" s="7"/>
      <c r="B109" s="7"/>
      <c r="C109" s="8"/>
      <c r="D109" s="16"/>
      <c r="E109" s="16"/>
      <c r="F109" s="16"/>
      <c r="G109" s="16"/>
      <c r="H109" s="16"/>
      <c r="I109" s="8"/>
      <c r="J109" s="8"/>
      <c r="K109" s="8"/>
      <c r="L109" s="8"/>
      <c r="M109" s="8"/>
      <c r="N109" s="8"/>
      <c r="O109" s="8"/>
    </row>
    <row r="110" customFormat="false" ht="24.75" hidden="false" customHeight="true" outlineLevel="0" collapsed="false">
      <c r="A110" s="7"/>
      <c r="B110" s="7"/>
      <c r="C110" s="8"/>
      <c r="D110" s="16"/>
      <c r="E110" s="16"/>
      <c r="F110" s="16"/>
      <c r="G110" s="16"/>
      <c r="H110" s="16"/>
      <c r="I110" s="8"/>
      <c r="J110" s="8"/>
      <c r="K110" s="8"/>
      <c r="L110" s="8"/>
      <c r="M110" s="8"/>
      <c r="N110" s="8"/>
      <c r="O110" s="8"/>
    </row>
    <row r="111" customFormat="false" ht="24.75" hidden="false" customHeight="true" outlineLevel="0" collapsed="false">
      <c r="A111" s="7"/>
      <c r="B111" s="7"/>
      <c r="C111" s="8"/>
      <c r="D111" s="16"/>
      <c r="E111" s="16"/>
      <c r="F111" s="16"/>
      <c r="G111" s="16"/>
      <c r="H111" s="16"/>
      <c r="I111" s="8"/>
      <c r="J111" s="8"/>
      <c r="K111" s="8"/>
      <c r="L111" s="8"/>
      <c r="M111" s="8"/>
      <c r="N111" s="8"/>
      <c r="O111" s="8"/>
    </row>
    <row r="112" customFormat="false" ht="24.75" hidden="false" customHeight="true" outlineLevel="0" collapsed="false">
      <c r="A112" s="7"/>
      <c r="B112" s="7"/>
      <c r="C112" s="8"/>
      <c r="D112" s="16"/>
      <c r="E112" s="16"/>
      <c r="F112" s="16"/>
      <c r="G112" s="16"/>
      <c r="H112" s="16"/>
      <c r="I112" s="8"/>
      <c r="J112" s="8"/>
      <c r="K112" s="8"/>
      <c r="L112" s="8"/>
      <c r="M112" s="8"/>
      <c r="N112" s="8"/>
      <c r="O112" s="8"/>
    </row>
    <row r="113" customFormat="false" ht="24.75" hidden="false" customHeight="true" outlineLevel="0" collapsed="false">
      <c r="A113" s="7"/>
      <c r="B113" s="7"/>
      <c r="C113" s="8"/>
      <c r="D113" s="16"/>
      <c r="E113" s="16"/>
      <c r="F113" s="16"/>
      <c r="G113" s="16"/>
      <c r="H113" s="16"/>
      <c r="I113" s="8"/>
      <c r="J113" s="8"/>
      <c r="K113" s="8"/>
      <c r="L113" s="8"/>
      <c r="M113" s="8"/>
      <c r="N113" s="8"/>
      <c r="O113" s="8"/>
    </row>
    <row r="114" customFormat="false" ht="24.75" hidden="false" customHeight="true" outlineLevel="0" collapsed="false">
      <c r="A114" s="7"/>
      <c r="B114" s="7"/>
      <c r="C114" s="8"/>
      <c r="D114" s="16"/>
      <c r="E114" s="16"/>
      <c r="F114" s="16"/>
      <c r="G114" s="16"/>
      <c r="H114" s="16"/>
      <c r="I114" s="8"/>
      <c r="J114" s="8"/>
      <c r="K114" s="8"/>
      <c r="L114" s="8"/>
      <c r="M114" s="8"/>
      <c r="N114" s="8"/>
      <c r="O114" s="8"/>
    </row>
    <row r="115" customFormat="false" ht="24.75" hidden="false" customHeight="true" outlineLevel="0" collapsed="false">
      <c r="A115" s="7"/>
      <c r="B115" s="7"/>
      <c r="C115" s="8"/>
      <c r="D115" s="16"/>
      <c r="E115" s="16"/>
      <c r="F115" s="16"/>
      <c r="G115" s="16"/>
      <c r="H115" s="16"/>
      <c r="I115" s="8"/>
      <c r="J115" s="8"/>
      <c r="K115" s="8"/>
      <c r="L115" s="8"/>
      <c r="M115" s="8"/>
      <c r="N115" s="8"/>
      <c r="O115" s="8"/>
    </row>
  </sheetData>
  <mergeCells count="1">
    <mergeCell ref="C2:H2"/>
  </mergeCells>
  <conditionalFormatting sqref="D9">
    <cfRule type="cellIs" priority="2" operator="less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8B525"/>
    <pageSetUpPr fitToPage="false"/>
  </sheetPr>
  <dimension ref="A1:O11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1" width="3"/>
    <col collapsed="false" customWidth="true" hidden="false" outlineLevel="0" max="3" min="3" style="1" width="42"/>
    <col collapsed="false" customWidth="true" hidden="false" outlineLevel="0" max="4" min="4" style="1" width="32"/>
    <col collapsed="false" customWidth="true" hidden="false" outlineLevel="0" max="5" min="5" style="1" width="18"/>
    <col collapsed="false" customWidth="true" hidden="false" outlineLevel="0" max="6" min="6" style="1" width="12"/>
    <col collapsed="false" customWidth="true" hidden="false" outlineLevel="0" max="7" min="7" style="1" width="51"/>
    <col collapsed="false" customWidth="true" hidden="false" outlineLevel="0" max="8" min="8" style="1" width="18"/>
    <col collapsed="false" customWidth="true" hidden="false" outlineLevel="0" max="10" min="9" style="1" width="25"/>
    <col collapsed="false" customWidth="true" hidden="false" outlineLevel="0" max="15" min="11" style="1" width="15"/>
  </cols>
  <sheetData>
    <row r="1" customFormat="false" ht="15" hidden="false" customHeight="false" outlineLevel="0" collapsed="false">
      <c r="A1" s="7"/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customFormat="false" ht="36.75" hidden="false" customHeight="true" outlineLevel="0" collapsed="false">
      <c r="A2" s="7"/>
      <c r="B2" s="7"/>
      <c r="C2" s="9" t="s">
        <v>274</v>
      </c>
      <c r="D2" s="9"/>
      <c r="E2" s="9"/>
      <c r="F2" s="9"/>
      <c r="G2" s="9"/>
      <c r="H2" s="9"/>
      <c r="I2" s="8"/>
      <c r="J2" s="8"/>
      <c r="K2" s="8"/>
      <c r="L2" s="8"/>
      <c r="M2" s="8"/>
      <c r="N2" s="8"/>
      <c r="O2" s="8"/>
    </row>
    <row r="3" customFormat="false" ht="15" hidden="false" customHeight="false" outlineLevel="0" collapsed="false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customFormat="false" ht="24.75" hidden="false" customHeight="true" outlineLevel="0" collapsed="false">
      <c r="A4" s="7"/>
      <c r="B4" s="7"/>
      <c r="C4" s="53"/>
      <c r="D4" s="53"/>
      <c r="E4" s="53"/>
      <c r="F4" s="53"/>
      <c r="G4" s="53"/>
      <c r="H4" s="53"/>
      <c r="I4" s="53"/>
      <c r="J4" s="53"/>
      <c r="K4" s="8"/>
      <c r="L4" s="8"/>
      <c r="M4" s="8"/>
      <c r="N4" s="8"/>
      <c r="O4" s="8"/>
    </row>
    <row r="5" customFormat="false" ht="48" hidden="false" customHeight="true" outlineLevel="0" collapsed="false">
      <c r="A5" s="7"/>
      <c r="B5" s="7"/>
      <c r="C5" s="18" t="s">
        <v>275</v>
      </c>
      <c r="D5" s="19" t="s">
        <v>276</v>
      </c>
      <c r="E5" s="19" t="s">
        <v>277</v>
      </c>
      <c r="F5" s="19" t="s">
        <v>278</v>
      </c>
      <c r="G5" s="19" t="s">
        <v>279</v>
      </c>
      <c r="H5" s="19" t="s">
        <v>40</v>
      </c>
      <c r="I5" s="53"/>
      <c r="J5" s="53"/>
      <c r="K5" s="8"/>
      <c r="L5" s="8"/>
      <c r="M5" s="8"/>
      <c r="N5" s="8"/>
      <c r="O5" s="8"/>
    </row>
    <row r="6" customFormat="false" ht="48" hidden="false" customHeight="true" outlineLevel="0" collapsed="false">
      <c r="A6" s="7"/>
      <c r="B6" s="7"/>
      <c r="C6" s="54" t="s">
        <v>280</v>
      </c>
      <c r="D6" s="55" t="s">
        <v>281</v>
      </c>
      <c r="E6" s="55" t="s">
        <v>282</v>
      </c>
      <c r="F6" s="56" t="n">
        <v>1</v>
      </c>
      <c r="G6" s="55" t="s">
        <v>283</v>
      </c>
      <c r="H6" s="55" t="s">
        <v>284</v>
      </c>
      <c r="I6" s="53"/>
      <c r="J6" s="53"/>
      <c r="K6" s="8"/>
      <c r="L6" s="8"/>
      <c r="M6" s="8"/>
      <c r="N6" s="8"/>
      <c r="O6" s="8"/>
    </row>
    <row r="7" customFormat="false" ht="48" hidden="false" customHeight="true" outlineLevel="0" collapsed="false">
      <c r="A7" s="7"/>
      <c r="B7" s="7"/>
      <c r="C7" s="54" t="s">
        <v>285</v>
      </c>
      <c r="D7" s="55" t="s">
        <v>286</v>
      </c>
      <c r="E7" s="55" t="s">
        <v>282</v>
      </c>
      <c r="F7" s="56" t="n">
        <v>1</v>
      </c>
      <c r="G7" s="55" t="s">
        <v>287</v>
      </c>
      <c r="H7" s="55" t="s">
        <v>284</v>
      </c>
      <c r="I7" s="53"/>
      <c r="J7" s="53"/>
      <c r="K7" s="8"/>
      <c r="L7" s="8"/>
      <c r="M7" s="8"/>
      <c r="N7" s="8"/>
      <c r="O7" s="8"/>
    </row>
    <row r="8" customFormat="false" ht="48" hidden="false" customHeight="true" outlineLevel="0" collapsed="false">
      <c r="A8" s="7"/>
      <c r="B8" s="7"/>
      <c r="C8" s="54" t="s">
        <v>288</v>
      </c>
      <c r="D8" s="55" t="s">
        <v>289</v>
      </c>
      <c r="E8" s="55" t="s">
        <v>282</v>
      </c>
      <c r="F8" s="56" t="n">
        <v>1</v>
      </c>
      <c r="G8" s="55" t="s">
        <v>290</v>
      </c>
      <c r="H8" s="55" t="s">
        <v>284</v>
      </c>
      <c r="I8" s="53"/>
      <c r="J8" s="53"/>
      <c r="K8" s="8"/>
      <c r="L8" s="8"/>
      <c r="M8" s="8"/>
      <c r="N8" s="8"/>
      <c r="O8" s="8"/>
    </row>
    <row r="9" customFormat="false" ht="48" hidden="false" customHeight="true" outlineLevel="0" collapsed="false">
      <c r="A9" s="7"/>
      <c r="B9" s="7"/>
      <c r="C9" s="54" t="s">
        <v>291</v>
      </c>
      <c r="D9" s="55" t="s">
        <v>281</v>
      </c>
      <c r="E9" s="55" t="s">
        <v>282</v>
      </c>
      <c r="F9" s="56" t="n">
        <v>1</v>
      </c>
      <c r="G9" s="55" t="s">
        <v>292</v>
      </c>
      <c r="H9" s="55" t="s">
        <v>284</v>
      </c>
      <c r="I9" s="53"/>
      <c r="J9" s="53"/>
      <c r="K9" s="8"/>
      <c r="L9" s="8"/>
      <c r="M9" s="8"/>
      <c r="N9" s="8"/>
      <c r="O9" s="8"/>
    </row>
    <row r="10" customFormat="false" ht="48" hidden="false" customHeight="true" outlineLevel="0" collapsed="false">
      <c r="A10" s="7"/>
      <c r="B10" s="7"/>
      <c r="C10" s="54" t="s">
        <v>293</v>
      </c>
      <c r="D10" s="55" t="s">
        <v>294</v>
      </c>
      <c r="E10" s="55" t="s">
        <v>295</v>
      </c>
      <c r="F10" s="56" t="n">
        <v>0</v>
      </c>
      <c r="G10" s="55" t="s">
        <v>296</v>
      </c>
      <c r="H10" s="55" t="s">
        <v>284</v>
      </c>
      <c r="I10" s="53"/>
      <c r="J10" s="53"/>
      <c r="K10" s="8"/>
      <c r="L10" s="8"/>
      <c r="M10" s="8"/>
      <c r="N10" s="8"/>
      <c r="O10" s="8"/>
    </row>
    <row r="11" customFormat="false" ht="48" hidden="false" customHeight="true" outlineLevel="0" collapsed="false">
      <c r="A11" s="7"/>
      <c r="B11" s="7"/>
      <c r="C11" s="54" t="s">
        <v>297</v>
      </c>
      <c r="D11" s="55" t="s">
        <v>294</v>
      </c>
      <c r="E11" s="55" t="s">
        <v>295</v>
      </c>
      <c r="F11" s="56" t="n">
        <v>0</v>
      </c>
      <c r="G11" s="55" t="s">
        <v>298</v>
      </c>
      <c r="H11" s="55" t="s">
        <v>284</v>
      </c>
      <c r="I11" s="53"/>
      <c r="J11" s="53"/>
      <c r="K11" s="8"/>
      <c r="L11" s="8"/>
      <c r="M11" s="8"/>
      <c r="N11" s="8"/>
      <c r="O11" s="8"/>
    </row>
    <row r="12" customFormat="false" ht="48" hidden="false" customHeight="true" outlineLevel="0" collapsed="false">
      <c r="A12" s="7"/>
      <c r="B12" s="7"/>
      <c r="C12" s="54" t="s">
        <v>299</v>
      </c>
      <c r="D12" s="55" t="s">
        <v>300</v>
      </c>
      <c r="E12" s="55" t="s">
        <v>295</v>
      </c>
      <c r="F12" s="56" t="n">
        <v>0</v>
      </c>
      <c r="G12" s="55" t="s">
        <v>301</v>
      </c>
      <c r="H12" s="55" t="s">
        <v>49</v>
      </c>
      <c r="I12" s="53"/>
      <c r="J12" s="53"/>
      <c r="K12" s="8"/>
      <c r="L12" s="8"/>
      <c r="M12" s="8"/>
      <c r="N12" s="8"/>
      <c r="O12" s="8"/>
    </row>
    <row r="13" customFormat="false" ht="48" hidden="false" customHeight="true" outlineLevel="0" collapsed="false">
      <c r="A13" s="7"/>
      <c r="B13" s="7"/>
      <c r="C13" s="54" t="s">
        <v>302</v>
      </c>
      <c r="D13" s="55" t="s">
        <v>294</v>
      </c>
      <c r="E13" s="55" t="s">
        <v>295</v>
      </c>
      <c r="F13" s="56" t="n">
        <v>0</v>
      </c>
      <c r="G13" s="55" t="s">
        <v>303</v>
      </c>
      <c r="H13" s="55" t="s">
        <v>49</v>
      </c>
      <c r="I13" s="53"/>
      <c r="J13" s="53"/>
      <c r="K13" s="8"/>
      <c r="L13" s="8"/>
      <c r="M13" s="8"/>
      <c r="N13" s="8"/>
      <c r="O13" s="8"/>
    </row>
    <row r="14" customFormat="false" ht="48" hidden="false" customHeight="true" outlineLevel="0" collapsed="false">
      <c r="A14" s="7"/>
      <c r="B14" s="7"/>
      <c r="C14" s="54" t="s">
        <v>304</v>
      </c>
      <c r="D14" s="55" t="s">
        <v>305</v>
      </c>
      <c r="E14" s="55" t="s">
        <v>295</v>
      </c>
      <c r="F14" s="56" t="n">
        <v>0</v>
      </c>
      <c r="G14" s="55" t="s">
        <v>306</v>
      </c>
      <c r="H14" s="55" t="s">
        <v>49</v>
      </c>
      <c r="I14" s="53"/>
      <c r="J14" s="53"/>
      <c r="K14" s="8"/>
      <c r="L14" s="8"/>
      <c r="M14" s="8"/>
      <c r="N14" s="8"/>
      <c r="O14" s="8"/>
    </row>
    <row r="15" customFormat="false" ht="48" hidden="false" customHeight="true" outlineLevel="0" collapsed="false">
      <c r="A15" s="7"/>
      <c r="B15" s="7"/>
      <c r="C15" s="54" t="s">
        <v>307</v>
      </c>
      <c r="D15" s="55" t="s">
        <v>286</v>
      </c>
      <c r="E15" s="55" t="s">
        <v>295</v>
      </c>
      <c r="F15" s="56" t="n">
        <v>0</v>
      </c>
      <c r="G15" s="55" t="s">
        <v>308</v>
      </c>
      <c r="H15" s="55" t="s">
        <v>49</v>
      </c>
      <c r="I15" s="53"/>
      <c r="J15" s="53"/>
      <c r="K15" s="8"/>
      <c r="L15" s="8"/>
      <c r="M15" s="8"/>
      <c r="N15" s="8"/>
      <c r="O15" s="8"/>
    </row>
    <row r="16" customFormat="false" ht="48" hidden="false" customHeight="true" outlineLevel="0" collapsed="false">
      <c r="A16" s="7"/>
      <c r="B16" s="7"/>
      <c r="C16" s="54" t="s">
        <v>309</v>
      </c>
      <c r="D16" s="55" t="s">
        <v>286</v>
      </c>
      <c r="E16" s="55" t="s">
        <v>295</v>
      </c>
      <c r="F16" s="56" t="n">
        <v>0</v>
      </c>
      <c r="G16" s="55" t="s">
        <v>310</v>
      </c>
      <c r="H16" s="55" t="s">
        <v>49</v>
      </c>
      <c r="I16" s="53"/>
      <c r="J16" s="53"/>
      <c r="K16" s="8"/>
      <c r="L16" s="8"/>
      <c r="M16" s="8"/>
      <c r="N16" s="8"/>
      <c r="O16" s="8"/>
    </row>
    <row r="17" customFormat="false" ht="48" hidden="false" customHeight="true" outlineLevel="0" collapsed="false">
      <c r="A17" s="7"/>
      <c r="B17" s="7"/>
      <c r="C17" s="54" t="s">
        <v>311</v>
      </c>
      <c r="D17" s="55" t="s">
        <v>294</v>
      </c>
      <c r="E17" s="55" t="s">
        <v>295</v>
      </c>
      <c r="F17" s="56" t="n">
        <v>0</v>
      </c>
      <c r="G17" s="55" t="s">
        <v>312</v>
      </c>
      <c r="H17" s="55" t="s">
        <v>313</v>
      </c>
      <c r="I17" s="53"/>
      <c r="J17" s="53"/>
      <c r="K17" s="8"/>
      <c r="L17" s="8"/>
      <c r="M17" s="8"/>
      <c r="N17" s="8"/>
      <c r="O17" s="8"/>
    </row>
    <row r="18" customFormat="false" ht="48" hidden="false" customHeight="true" outlineLevel="0" collapsed="false">
      <c r="A18" s="7"/>
      <c r="B18" s="7"/>
      <c r="C18" s="54" t="s">
        <v>314</v>
      </c>
      <c r="D18" s="55" t="s">
        <v>315</v>
      </c>
      <c r="E18" s="55" t="s">
        <v>295</v>
      </c>
      <c r="F18" s="56" t="n">
        <v>0</v>
      </c>
      <c r="G18" s="55" t="s">
        <v>316</v>
      </c>
      <c r="H18" s="55" t="s">
        <v>284</v>
      </c>
      <c r="I18" s="53"/>
      <c r="J18" s="53"/>
      <c r="K18" s="8"/>
      <c r="L18" s="8"/>
      <c r="M18" s="8"/>
      <c r="N18" s="8"/>
      <c r="O18" s="8"/>
    </row>
    <row r="19" customFormat="false" ht="48" hidden="false" customHeight="true" outlineLevel="0" collapsed="false">
      <c r="A19" s="7"/>
      <c r="B19" s="7"/>
      <c r="C19" s="54" t="s">
        <v>317</v>
      </c>
      <c r="D19" s="55" t="s">
        <v>289</v>
      </c>
      <c r="E19" s="55" t="s">
        <v>295</v>
      </c>
      <c r="F19" s="56" t="n">
        <v>0</v>
      </c>
      <c r="G19" s="55" t="s">
        <v>318</v>
      </c>
      <c r="H19" s="55" t="s">
        <v>313</v>
      </c>
      <c r="I19" s="53"/>
      <c r="J19" s="53"/>
      <c r="K19" s="8"/>
      <c r="L19" s="8"/>
      <c r="M19" s="8"/>
      <c r="N19" s="8"/>
      <c r="O19" s="8"/>
    </row>
    <row r="20" customFormat="false" ht="48" hidden="false" customHeight="true" outlineLevel="0" collapsed="false">
      <c r="A20" s="7"/>
      <c r="B20" s="7"/>
      <c r="C20" s="54" t="s">
        <v>319</v>
      </c>
      <c r="D20" s="55" t="s">
        <v>320</v>
      </c>
      <c r="E20" s="55" t="s">
        <v>295</v>
      </c>
      <c r="F20" s="56" t="n">
        <v>0</v>
      </c>
      <c r="G20" s="55" t="s">
        <v>321</v>
      </c>
      <c r="H20" s="55" t="s">
        <v>284</v>
      </c>
      <c r="I20" s="53"/>
      <c r="J20" s="53"/>
      <c r="K20" s="8"/>
      <c r="L20" s="8"/>
      <c r="M20" s="8"/>
      <c r="N20" s="8"/>
      <c r="O20" s="8"/>
    </row>
    <row r="21" customFormat="false" ht="48" hidden="false" customHeight="true" outlineLevel="0" collapsed="false">
      <c r="A21" s="7"/>
      <c r="B21" s="7"/>
      <c r="C21" s="54" t="s">
        <v>322</v>
      </c>
      <c r="D21" s="55" t="s">
        <v>323</v>
      </c>
      <c r="E21" s="55" t="s">
        <v>324</v>
      </c>
      <c r="F21" s="56" t="n">
        <v>0</v>
      </c>
      <c r="G21" s="55" t="s">
        <v>325</v>
      </c>
      <c r="H21" s="55" t="s">
        <v>49</v>
      </c>
      <c r="I21" s="53"/>
      <c r="J21" s="53"/>
      <c r="K21" s="8"/>
      <c r="L21" s="8"/>
      <c r="M21" s="8"/>
      <c r="N21" s="8"/>
      <c r="O21" s="8"/>
    </row>
    <row r="22" customFormat="false" ht="48" hidden="false" customHeight="true" outlineLevel="0" collapsed="false">
      <c r="A22" s="7"/>
      <c r="B22" s="7"/>
      <c r="C22" s="54" t="s">
        <v>326</v>
      </c>
      <c r="D22" s="55" t="s">
        <v>327</v>
      </c>
      <c r="E22" s="55" t="s">
        <v>324</v>
      </c>
      <c r="F22" s="56" t="n">
        <v>0</v>
      </c>
      <c r="G22" s="55" t="s">
        <v>328</v>
      </c>
      <c r="H22" s="55" t="s">
        <v>49</v>
      </c>
      <c r="I22" s="53"/>
      <c r="J22" s="53"/>
      <c r="K22" s="8"/>
      <c r="L22" s="8"/>
      <c r="M22" s="8"/>
      <c r="N22" s="8"/>
      <c r="O22" s="8"/>
    </row>
    <row r="23" customFormat="false" ht="48" hidden="false" customHeight="true" outlineLevel="0" collapsed="false">
      <c r="A23" s="7"/>
      <c r="B23" s="7"/>
      <c r="C23" s="54" t="s">
        <v>329</v>
      </c>
      <c r="D23" s="55" t="s">
        <v>330</v>
      </c>
      <c r="E23" s="55" t="s">
        <v>324</v>
      </c>
      <c r="F23" s="56" t="n">
        <v>0</v>
      </c>
      <c r="G23" s="55" t="s">
        <v>331</v>
      </c>
      <c r="H23" s="55" t="s">
        <v>313</v>
      </c>
      <c r="I23" s="53"/>
      <c r="J23" s="53"/>
      <c r="K23" s="8"/>
      <c r="L23" s="8"/>
      <c r="M23" s="8"/>
      <c r="N23" s="8"/>
      <c r="O23" s="8"/>
    </row>
    <row r="24" customFormat="false" ht="48" hidden="false" customHeight="true" outlineLevel="0" collapsed="false">
      <c r="A24" s="7"/>
      <c r="B24" s="7"/>
      <c r="C24" s="54" t="s">
        <v>332</v>
      </c>
      <c r="D24" s="55" t="s">
        <v>333</v>
      </c>
      <c r="E24" s="55" t="s">
        <v>334</v>
      </c>
      <c r="F24" s="56" t="n">
        <v>1</v>
      </c>
      <c r="G24" s="55" t="s">
        <v>335</v>
      </c>
      <c r="H24" s="55" t="s">
        <v>49</v>
      </c>
      <c r="I24" s="53"/>
      <c r="J24" s="53"/>
      <c r="K24" s="8"/>
      <c r="L24" s="8"/>
      <c r="M24" s="8"/>
      <c r="N24" s="8"/>
      <c r="O24" s="8"/>
    </row>
    <row r="25" customFormat="false" ht="48" hidden="false" customHeight="true" outlineLevel="0" collapsed="false">
      <c r="A25" s="7"/>
      <c r="B25" s="7"/>
      <c r="C25" s="54" t="s">
        <v>336</v>
      </c>
      <c r="D25" s="55" t="s">
        <v>327</v>
      </c>
      <c r="E25" s="55" t="s">
        <v>324</v>
      </c>
      <c r="F25" s="56" t="n">
        <v>0</v>
      </c>
      <c r="G25" s="55" t="s">
        <v>337</v>
      </c>
      <c r="H25" s="55" t="s">
        <v>284</v>
      </c>
      <c r="I25" s="53"/>
      <c r="J25" s="53"/>
      <c r="K25" s="8"/>
      <c r="L25" s="8"/>
      <c r="M25" s="8"/>
      <c r="N25" s="8"/>
      <c r="O25" s="8"/>
    </row>
    <row r="26" customFormat="false" ht="48" hidden="false" customHeight="true" outlineLevel="0" collapsed="false">
      <c r="A26" s="7"/>
      <c r="B26" s="7"/>
      <c r="C26" s="54" t="s">
        <v>338</v>
      </c>
      <c r="D26" s="55" t="s">
        <v>339</v>
      </c>
      <c r="E26" s="55" t="s">
        <v>324</v>
      </c>
      <c r="F26" s="56" t="n">
        <v>0</v>
      </c>
      <c r="G26" s="55" t="s">
        <v>340</v>
      </c>
      <c r="H26" s="55" t="s">
        <v>284</v>
      </c>
      <c r="I26" s="53"/>
      <c r="J26" s="53"/>
      <c r="K26" s="8"/>
      <c r="L26" s="8"/>
      <c r="M26" s="8"/>
      <c r="N26" s="8"/>
      <c r="O26" s="8"/>
    </row>
    <row r="27" customFormat="false" ht="48" hidden="false" customHeight="true" outlineLevel="0" collapsed="false">
      <c r="A27" s="7"/>
      <c r="B27" s="7"/>
      <c r="C27" s="54" t="s">
        <v>341</v>
      </c>
      <c r="D27" s="55" t="s">
        <v>286</v>
      </c>
      <c r="E27" s="55" t="s">
        <v>295</v>
      </c>
      <c r="F27" s="56" t="n">
        <v>0</v>
      </c>
      <c r="G27" s="55" t="s">
        <v>342</v>
      </c>
      <c r="H27" s="55" t="s">
        <v>284</v>
      </c>
      <c r="I27" s="53"/>
      <c r="J27" s="53"/>
      <c r="K27" s="8"/>
      <c r="L27" s="8"/>
      <c r="M27" s="8"/>
      <c r="N27" s="8"/>
      <c r="O27" s="8"/>
    </row>
    <row r="28" customFormat="false" ht="48" hidden="false" customHeight="true" outlineLevel="0" collapsed="false">
      <c r="A28" s="7"/>
      <c r="B28" s="7"/>
      <c r="C28" s="54" t="s">
        <v>343</v>
      </c>
      <c r="D28" s="55" t="s">
        <v>286</v>
      </c>
      <c r="E28" s="55" t="s">
        <v>295</v>
      </c>
      <c r="F28" s="56" t="n">
        <v>0</v>
      </c>
      <c r="G28" s="55" t="s">
        <v>344</v>
      </c>
      <c r="H28" s="55" t="s">
        <v>284</v>
      </c>
      <c r="I28" s="53"/>
      <c r="J28" s="53"/>
      <c r="K28" s="8"/>
      <c r="L28" s="8"/>
      <c r="M28" s="8"/>
      <c r="N28" s="8"/>
      <c r="O28" s="8"/>
    </row>
    <row r="29" customFormat="false" ht="48" hidden="false" customHeight="true" outlineLevel="0" collapsed="false">
      <c r="A29" s="7"/>
      <c r="B29" s="7"/>
      <c r="C29" s="54" t="s">
        <v>345</v>
      </c>
      <c r="D29" s="55" t="s">
        <v>333</v>
      </c>
      <c r="E29" s="55" t="s">
        <v>346</v>
      </c>
      <c r="F29" s="56" t="n">
        <v>1</v>
      </c>
      <c r="G29" s="55" t="s">
        <v>347</v>
      </c>
      <c r="H29" s="55" t="s">
        <v>49</v>
      </c>
      <c r="I29" s="53"/>
      <c r="J29" s="53"/>
      <c r="K29" s="8"/>
      <c r="L29" s="8"/>
      <c r="M29" s="8"/>
      <c r="N29" s="8"/>
      <c r="O29" s="8"/>
    </row>
    <row r="30" customFormat="false" ht="48" hidden="false" customHeight="true" outlineLevel="0" collapsed="false">
      <c r="A30" s="7"/>
      <c r="B30" s="7"/>
      <c r="C30" s="53"/>
      <c r="D30" s="57"/>
      <c r="E30" s="57"/>
      <c r="F30" s="57"/>
      <c r="G30" s="57"/>
      <c r="H30" s="57"/>
      <c r="I30" s="53"/>
      <c r="J30" s="53"/>
      <c r="K30" s="8"/>
      <c r="L30" s="8"/>
      <c r="M30" s="8"/>
      <c r="N30" s="8"/>
      <c r="O30" s="8"/>
    </row>
    <row r="31" customFormat="false" ht="48" hidden="false" customHeight="true" outlineLevel="0" collapsed="false">
      <c r="A31" s="7"/>
      <c r="B31" s="7"/>
      <c r="C31" s="54" t="s">
        <v>348</v>
      </c>
      <c r="D31" s="57"/>
      <c r="E31" s="57"/>
      <c r="F31" s="57"/>
      <c r="G31" s="57"/>
      <c r="H31" s="57"/>
      <c r="I31" s="53"/>
      <c r="J31" s="53"/>
      <c r="K31" s="8"/>
      <c r="L31" s="8"/>
      <c r="M31" s="8"/>
      <c r="N31" s="8"/>
      <c r="O31" s="8"/>
    </row>
    <row r="32" customFormat="false" ht="48" hidden="false" customHeight="true" outlineLevel="0" collapsed="false">
      <c r="A32" s="7"/>
      <c r="B32" s="7"/>
      <c r="C32" s="54" t="s">
        <v>349</v>
      </c>
      <c r="D32" s="55" t="n">
        <f aca="false">SUM(F6:F29)</f>
        <v>6</v>
      </c>
      <c r="E32" s="57"/>
      <c r="F32" s="57"/>
      <c r="G32" s="57"/>
      <c r="H32" s="57"/>
      <c r="I32" s="53"/>
      <c r="J32" s="53"/>
      <c r="K32" s="8"/>
      <c r="L32" s="8"/>
      <c r="M32" s="8"/>
      <c r="N32" s="8"/>
      <c r="O32" s="8"/>
    </row>
    <row r="33" customFormat="false" ht="48" hidden="false" customHeight="true" outlineLevel="0" collapsed="false">
      <c r="A33" s="7"/>
      <c r="B33" s="7"/>
      <c r="C33" s="54" t="s">
        <v>350</v>
      </c>
      <c r="D33" s="55" t="n">
        <f aca="false">ROWS(C6:C29)</f>
        <v>24</v>
      </c>
      <c r="E33" s="57"/>
      <c r="F33" s="57"/>
      <c r="G33" s="57"/>
      <c r="H33" s="57"/>
      <c r="I33" s="53"/>
      <c r="J33" s="53"/>
      <c r="K33" s="8"/>
      <c r="L33" s="8"/>
      <c r="M33" s="8"/>
      <c r="N33" s="8"/>
      <c r="O33" s="8"/>
    </row>
    <row r="34" customFormat="false" ht="48" hidden="false" customHeight="true" outlineLevel="0" collapsed="false">
      <c r="A34" s="7"/>
      <c r="B34" s="7"/>
      <c r="C34" s="54" t="s">
        <v>351</v>
      </c>
      <c r="D34" s="58" t="n">
        <f aca="false">D32/D33</f>
        <v>0.25</v>
      </c>
      <c r="E34" s="57"/>
      <c r="F34" s="57"/>
      <c r="G34" s="57"/>
      <c r="H34" s="57"/>
      <c r="I34" s="53"/>
      <c r="J34" s="53"/>
      <c r="K34" s="8"/>
      <c r="L34" s="8"/>
      <c r="M34" s="8"/>
      <c r="N34" s="8"/>
      <c r="O34" s="8"/>
    </row>
    <row r="35" customFormat="false" ht="48" hidden="false" customHeight="true" outlineLevel="0" collapsed="false">
      <c r="A35" s="7"/>
      <c r="B35" s="7"/>
      <c r="C35" s="53"/>
      <c r="D35" s="57"/>
      <c r="E35" s="57"/>
      <c r="F35" s="57"/>
      <c r="G35" s="57"/>
      <c r="H35" s="57"/>
      <c r="I35" s="53"/>
      <c r="J35" s="53"/>
      <c r="K35" s="8"/>
      <c r="L35" s="8"/>
      <c r="M35" s="8"/>
      <c r="N35" s="8"/>
      <c r="O35" s="8"/>
    </row>
    <row r="36" customFormat="false" ht="48" hidden="false" customHeight="true" outlineLevel="0" collapsed="false">
      <c r="A36" s="7"/>
      <c r="B36" s="7"/>
      <c r="C36" s="53"/>
      <c r="D36" s="57"/>
      <c r="E36" s="57"/>
      <c r="F36" s="57"/>
      <c r="G36" s="57"/>
      <c r="H36" s="57"/>
      <c r="I36" s="53"/>
      <c r="J36" s="53"/>
      <c r="K36" s="8"/>
      <c r="L36" s="8"/>
      <c r="M36" s="8"/>
      <c r="N36" s="8"/>
      <c r="O36" s="8"/>
    </row>
    <row r="37" customFormat="false" ht="39" hidden="false" customHeight="true" outlineLevel="0" collapsed="false">
      <c r="A37" s="7"/>
      <c r="B37" s="7"/>
      <c r="C37" s="23" t="s">
        <v>352</v>
      </c>
      <c r="D37" s="23"/>
      <c r="E37" s="23"/>
      <c r="F37" s="23"/>
      <c r="G37" s="23"/>
      <c r="H37" s="23"/>
      <c r="I37" s="53"/>
      <c r="J37" s="53"/>
      <c r="K37" s="8"/>
      <c r="L37" s="8"/>
      <c r="M37" s="8"/>
      <c r="N37" s="8"/>
      <c r="O37" s="8"/>
    </row>
    <row r="38" customFormat="false" ht="48" hidden="false" customHeight="true" outlineLevel="0" collapsed="false">
      <c r="A38" s="7"/>
      <c r="B38" s="7"/>
      <c r="C38" s="53"/>
      <c r="D38" s="57"/>
      <c r="E38" s="57"/>
      <c r="F38" s="57"/>
      <c r="G38" s="57"/>
      <c r="H38" s="57"/>
      <c r="I38" s="53"/>
      <c r="J38" s="53"/>
      <c r="K38" s="8"/>
      <c r="L38" s="8"/>
      <c r="M38" s="8"/>
      <c r="N38" s="8"/>
      <c r="O38" s="8"/>
    </row>
    <row r="39" customFormat="false" ht="48" hidden="false" customHeight="true" outlineLevel="0" collapsed="false">
      <c r="A39" s="7"/>
      <c r="B39" s="7"/>
      <c r="C39" s="53"/>
      <c r="D39" s="57"/>
      <c r="E39" s="57"/>
      <c r="F39" s="57"/>
      <c r="G39" s="57"/>
      <c r="H39" s="57"/>
      <c r="I39" s="53"/>
      <c r="J39" s="53"/>
      <c r="K39" s="8"/>
      <c r="L39" s="8"/>
      <c r="M39" s="8"/>
      <c r="N39" s="8"/>
      <c r="O39" s="8"/>
    </row>
    <row r="40" customFormat="false" ht="48" hidden="false" customHeight="true" outlineLevel="0" collapsed="false">
      <c r="A40" s="7"/>
      <c r="B40" s="7"/>
      <c r="C40" s="53"/>
      <c r="D40" s="57"/>
      <c r="E40" s="57"/>
      <c r="F40" s="57"/>
      <c r="G40" s="57"/>
      <c r="H40" s="57"/>
      <c r="I40" s="53"/>
      <c r="J40" s="53"/>
      <c r="K40" s="8"/>
      <c r="L40" s="8"/>
      <c r="M40" s="8"/>
      <c r="N40" s="8"/>
      <c r="O40" s="8"/>
    </row>
    <row r="41" customFormat="false" ht="24.75" hidden="false" customHeight="true" outlineLevel="0" collapsed="false">
      <c r="A41" s="7"/>
      <c r="B41" s="7"/>
      <c r="C41" s="8"/>
      <c r="D41" s="16"/>
      <c r="E41" s="16"/>
      <c r="F41" s="16"/>
      <c r="G41" s="16"/>
      <c r="H41" s="16"/>
      <c r="I41" s="8"/>
      <c r="J41" s="8"/>
      <c r="K41" s="8"/>
      <c r="L41" s="8"/>
      <c r="M41" s="8"/>
      <c r="N41" s="8"/>
      <c r="O41" s="8"/>
    </row>
    <row r="42" customFormat="false" ht="24.75" hidden="false" customHeight="true" outlineLevel="0" collapsed="false">
      <c r="A42" s="7"/>
      <c r="B42" s="7"/>
      <c r="C42" s="8"/>
      <c r="D42" s="16"/>
      <c r="E42" s="16"/>
      <c r="F42" s="16"/>
      <c r="G42" s="16"/>
      <c r="H42" s="16"/>
      <c r="I42" s="8"/>
      <c r="J42" s="8"/>
      <c r="K42" s="8"/>
      <c r="L42" s="8"/>
      <c r="M42" s="8"/>
      <c r="N42" s="8"/>
      <c r="O42" s="8"/>
    </row>
    <row r="43" customFormat="false" ht="24.75" hidden="false" customHeight="true" outlineLevel="0" collapsed="false">
      <c r="A43" s="7"/>
      <c r="B43" s="7"/>
      <c r="C43" s="8"/>
      <c r="D43" s="16"/>
      <c r="E43" s="16"/>
      <c r="F43" s="16"/>
      <c r="G43" s="16"/>
      <c r="H43" s="16"/>
      <c r="I43" s="8"/>
      <c r="J43" s="8"/>
      <c r="K43" s="8"/>
      <c r="L43" s="8"/>
      <c r="M43" s="8"/>
      <c r="N43" s="8"/>
      <c r="O43" s="8"/>
    </row>
    <row r="44" customFormat="false" ht="24.75" hidden="false" customHeight="true" outlineLevel="0" collapsed="false">
      <c r="A44" s="7"/>
      <c r="B44" s="7"/>
      <c r="C44" s="8"/>
      <c r="D44" s="16"/>
      <c r="E44" s="16"/>
      <c r="F44" s="16"/>
      <c r="G44" s="16"/>
      <c r="H44" s="16"/>
      <c r="I44" s="8"/>
      <c r="J44" s="8"/>
      <c r="K44" s="8"/>
      <c r="L44" s="8"/>
      <c r="M44" s="8"/>
      <c r="N44" s="8"/>
      <c r="O44" s="8"/>
    </row>
    <row r="45" customFormat="false" ht="24.75" hidden="false" customHeight="true" outlineLevel="0" collapsed="false">
      <c r="A45" s="7"/>
      <c r="B45" s="7"/>
      <c r="C45" s="8"/>
      <c r="D45" s="16"/>
      <c r="E45" s="16"/>
      <c r="F45" s="16"/>
      <c r="G45" s="16"/>
      <c r="H45" s="16"/>
      <c r="I45" s="8"/>
      <c r="J45" s="8"/>
      <c r="K45" s="8"/>
      <c r="L45" s="8"/>
      <c r="M45" s="8"/>
      <c r="N45" s="8"/>
      <c r="O45" s="8"/>
    </row>
    <row r="46" customFormat="false" ht="24.75" hidden="false" customHeight="true" outlineLevel="0" collapsed="false">
      <c r="A46" s="7"/>
      <c r="B46" s="7"/>
      <c r="C46" s="8"/>
      <c r="D46" s="16"/>
      <c r="E46" s="16"/>
      <c r="F46" s="16"/>
      <c r="G46" s="16"/>
      <c r="H46" s="16"/>
      <c r="I46" s="8"/>
      <c r="J46" s="8"/>
      <c r="K46" s="8"/>
      <c r="L46" s="8"/>
      <c r="M46" s="8"/>
      <c r="N46" s="8"/>
      <c r="O46" s="8"/>
    </row>
    <row r="47" customFormat="false" ht="24.75" hidden="false" customHeight="true" outlineLevel="0" collapsed="false">
      <c r="A47" s="7"/>
      <c r="B47" s="7"/>
      <c r="C47" s="8"/>
      <c r="D47" s="16"/>
      <c r="E47" s="16"/>
      <c r="F47" s="16"/>
      <c r="G47" s="16"/>
      <c r="H47" s="16"/>
      <c r="I47" s="8"/>
      <c r="J47" s="8"/>
      <c r="K47" s="8"/>
      <c r="L47" s="8"/>
      <c r="M47" s="8"/>
      <c r="N47" s="8"/>
      <c r="O47" s="8"/>
    </row>
    <row r="48" customFormat="false" ht="24.75" hidden="false" customHeight="true" outlineLevel="0" collapsed="false">
      <c r="A48" s="7"/>
      <c r="B48" s="7"/>
      <c r="C48" s="8"/>
      <c r="D48" s="16"/>
      <c r="E48" s="16"/>
      <c r="F48" s="16"/>
      <c r="G48" s="16"/>
      <c r="H48" s="16"/>
      <c r="I48" s="8"/>
      <c r="J48" s="8"/>
      <c r="K48" s="8"/>
      <c r="L48" s="8"/>
      <c r="M48" s="8"/>
      <c r="N48" s="8"/>
      <c r="O48" s="8"/>
    </row>
    <row r="49" customFormat="false" ht="24.75" hidden="false" customHeight="true" outlineLevel="0" collapsed="false">
      <c r="A49" s="7"/>
      <c r="B49" s="7"/>
      <c r="C49" s="8"/>
      <c r="D49" s="16"/>
      <c r="E49" s="16"/>
      <c r="F49" s="16"/>
      <c r="G49" s="16"/>
      <c r="H49" s="16"/>
      <c r="I49" s="8"/>
      <c r="J49" s="8"/>
      <c r="K49" s="8"/>
      <c r="L49" s="8"/>
      <c r="M49" s="8"/>
      <c r="N49" s="8"/>
      <c r="O49" s="8"/>
    </row>
    <row r="50" customFormat="false" ht="24.75" hidden="false" customHeight="true" outlineLevel="0" collapsed="false">
      <c r="A50" s="7"/>
      <c r="B50" s="7"/>
      <c r="C50" s="8"/>
      <c r="D50" s="16"/>
      <c r="E50" s="16"/>
      <c r="F50" s="16"/>
      <c r="G50" s="16"/>
      <c r="H50" s="16"/>
      <c r="I50" s="8"/>
      <c r="J50" s="8"/>
      <c r="K50" s="8"/>
      <c r="L50" s="8"/>
      <c r="M50" s="8"/>
      <c r="N50" s="8"/>
      <c r="O50" s="8"/>
    </row>
    <row r="51" customFormat="false" ht="24.75" hidden="false" customHeight="true" outlineLevel="0" collapsed="false">
      <c r="A51" s="7"/>
      <c r="B51" s="7"/>
      <c r="C51" s="8"/>
      <c r="D51" s="16"/>
      <c r="E51" s="16"/>
      <c r="F51" s="16"/>
      <c r="G51" s="16"/>
      <c r="H51" s="16"/>
      <c r="I51" s="8"/>
      <c r="J51" s="8"/>
      <c r="K51" s="8"/>
      <c r="L51" s="8"/>
      <c r="M51" s="8"/>
      <c r="N51" s="8"/>
      <c r="O51" s="8"/>
    </row>
    <row r="52" customFormat="false" ht="24.75" hidden="false" customHeight="true" outlineLevel="0" collapsed="false">
      <c r="A52" s="7"/>
      <c r="B52" s="7"/>
      <c r="C52" s="8"/>
      <c r="D52" s="16"/>
      <c r="E52" s="16"/>
      <c r="F52" s="16"/>
      <c r="G52" s="16"/>
      <c r="H52" s="16"/>
      <c r="I52" s="8"/>
      <c r="J52" s="8"/>
      <c r="K52" s="8"/>
      <c r="L52" s="8"/>
      <c r="M52" s="8"/>
      <c r="N52" s="8"/>
      <c r="O52" s="8"/>
    </row>
    <row r="53" customFormat="false" ht="24.75" hidden="false" customHeight="true" outlineLevel="0" collapsed="false">
      <c r="A53" s="7"/>
      <c r="B53" s="7"/>
      <c r="C53" s="8"/>
      <c r="D53" s="16"/>
      <c r="E53" s="16"/>
      <c r="F53" s="16"/>
      <c r="G53" s="16"/>
      <c r="H53" s="16"/>
      <c r="I53" s="8"/>
      <c r="J53" s="8"/>
      <c r="K53" s="8"/>
      <c r="L53" s="8"/>
      <c r="M53" s="8"/>
      <c r="N53" s="8"/>
      <c r="O53" s="8"/>
    </row>
    <row r="54" customFormat="false" ht="24.75" hidden="false" customHeight="true" outlineLevel="0" collapsed="false">
      <c r="A54" s="7"/>
      <c r="B54" s="7"/>
      <c r="C54" s="8"/>
      <c r="D54" s="16"/>
      <c r="E54" s="16"/>
      <c r="F54" s="16"/>
      <c r="G54" s="16"/>
      <c r="H54" s="16"/>
      <c r="I54" s="8"/>
      <c r="J54" s="8"/>
      <c r="K54" s="8"/>
      <c r="L54" s="8"/>
      <c r="M54" s="8"/>
      <c r="N54" s="8"/>
      <c r="O54" s="8"/>
    </row>
    <row r="55" customFormat="false" ht="24.75" hidden="false" customHeight="true" outlineLevel="0" collapsed="false">
      <c r="A55" s="7"/>
      <c r="B55" s="7"/>
      <c r="C55" s="8"/>
      <c r="D55" s="16"/>
      <c r="E55" s="16"/>
      <c r="F55" s="16"/>
      <c r="G55" s="16"/>
      <c r="H55" s="16"/>
      <c r="I55" s="8"/>
      <c r="J55" s="8"/>
      <c r="K55" s="8"/>
      <c r="L55" s="8"/>
      <c r="M55" s="8"/>
      <c r="N55" s="8"/>
      <c r="O55" s="8"/>
    </row>
    <row r="56" customFormat="false" ht="24.75" hidden="false" customHeight="true" outlineLevel="0" collapsed="false">
      <c r="A56" s="7"/>
      <c r="B56" s="7"/>
      <c r="C56" s="8"/>
      <c r="D56" s="16"/>
      <c r="E56" s="16"/>
      <c r="F56" s="16"/>
      <c r="G56" s="16"/>
      <c r="H56" s="16"/>
      <c r="I56" s="8"/>
      <c r="J56" s="8"/>
      <c r="K56" s="8"/>
      <c r="L56" s="8"/>
      <c r="M56" s="8"/>
      <c r="N56" s="8"/>
      <c r="O56" s="8"/>
    </row>
    <row r="57" customFormat="false" ht="24.75" hidden="false" customHeight="true" outlineLevel="0" collapsed="false">
      <c r="A57" s="7"/>
      <c r="B57" s="7"/>
      <c r="C57" s="8"/>
      <c r="D57" s="16"/>
      <c r="E57" s="16"/>
      <c r="F57" s="16"/>
      <c r="G57" s="16"/>
      <c r="H57" s="16"/>
      <c r="I57" s="8"/>
      <c r="J57" s="8"/>
      <c r="K57" s="8"/>
      <c r="L57" s="8"/>
      <c r="M57" s="8"/>
      <c r="N57" s="8"/>
      <c r="O57" s="8"/>
    </row>
    <row r="58" customFormat="false" ht="24.75" hidden="false" customHeight="true" outlineLevel="0" collapsed="false">
      <c r="A58" s="7"/>
      <c r="B58" s="7"/>
      <c r="C58" s="8"/>
      <c r="D58" s="16"/>
      <c r="E58" s="16"/>
      <c r="F58" s="16"/>
      <c r="G58" s="16"/>
      <c r="H58" s="16"/>
      <c r="I58" s="8"/>
      <c r="J58" s="8"/>
      <c r="K58" s="8"/>
      <c r="L58" s="8"/>
      <c r="M58" s="8"/>
      <c r="N58" s="8"/>
      <c r="O58" s="8"/>
    </row>
    <row r="59" customFormat="false" ht="24.75" hidden="false" customHeight="true" outlineLevel="0" collapsed="false">
      <c r="A59" s="7"/>
      <c r="B59" s="7"/>
      <c r="C59" s="8"/>
      <c r="D59" s="16"/>
      <c r="E59" s="16"/>
      <c r="F59" s="16"/>
      <c r="G59" s="16"/>
      <c r="H59" s="16"/>
      <c r="I59" s="8"/>
      <c r="J59" s="8"/>
      <c r="K59" s="8"/>
      <c r="L59" s="8"/>
      <c r="M59" s="8"/>
      <c r="N59" s="8"/>
      <c r="O59" s="8"/>
    </row>
    <row r="60" customFormat="false" ht="24.75" hidden="false" customHeight="true" outlineLevel="0" collapsed="false">
      <c r="A60" s="7"/>
      <c r="B60" s="7"/>
      <c r="C60" s="8"/>
      <c r="D60" s="16"/>
      <c r="E60" s="16"/>
      <c r="F60" s="16"/>
      <c r="G60" s="16"/>
      <c r="H60" s="16"/>
      <c r="I60" s="8"/>
      <c r="J60" s="8"/>
      <c r="K60" s="8"/>
      <c r="L60" s="8"/>
      <c r="M60" s="8"/>
      <c r="N60" s="8"/>
      <c r="O60" s="8"/>
    </row>
    <row r="61" customFormat="false" ht="24.75" hidden="false" customHeight="true" outlineLevel="0" collapsed="false">
      <c r="A61" s="7"/>
      <c r="B61" s="7"/>
      <c r="C61" s="8"/>
      <c r="D61" s="16"/>
      <c r="E61" s="16"/>
      <c r="F61" s="16"/>
      <c r="G61" s="16"/>
      <c r="H61" s="16"/>
      <c r="I61" s="8"/>
      <c r="J61" s="8"/>
      <c r="K61" s="8"/>
      <c r="L61" s="8"/>
      <c r="M61" s="8"/>
      <c r="N61" s="8"/>
      <c r="O61" s="8"/>
    </row>
    <row r="62" customFormat="false" ht="24.75" hidden="false" customHeight="true" outlineLevel="0" collapsed="false">
      <c r="A62" s="7"/>
      <c r="B62" s="7"/>
      <c r="C62" s="8"/>
      <c r="D62" s="16"/>
      <c r="E62" s="16"/>
      <c r="F62" s="16"/>
      <c r="G62" s="16"/>
      <c r="H62" s="16"/>
      <c r="I62" s="8"/>
      <c r="J62" s="8"/>
      <c r="K62" s="8"/>
      <c r="L62" s="8"/>
      <c r="M62" s="8"/>
      <c r="N62" s="8"/>
      <c r="O62" s="8"/>
    </row>
    <row r="63" customFormat="false" ht="24.75" hidden="false" customHeight="true" outlineLevel="0" collapsed="false">
      <c r="A63" s="7"/>
      <c r="B63" s="7"/>
      <c r="C63" s="8"/>
      <c r="D63" s="16"/>
      <c r="E63" s="16"/>
      <c r="F63" s="16"/>
      <c r="G63" s="16"/>
      <c r="H63" s="16"/>
      <c r="I63" s="8"/>
      <c r="J63" s="8"/>
      <c r="K63" s="8"/>
      <c r="L63" s="8"/>
      <c r="M63" s="8"/>
      <c r="N63" s="8"/>
      <c r="O63" s="8"/>
    </row>
    <row r="64" customFormat="false" ht="24.75" hidden="false" customHeight="true" outlineLevel="0" collapsed="false">
      <c r="A64" s="7"/>
      <c r="B64" s="7"/>
      <c r="C64" s="8"/>
      <c r="D64" s="16"/>
      <c r="E64" s="16"/>
      <c r="F64" s="16"/>
      <c r="G64" s="16"/>
      <c r="H64" s="16"/>
      <c r="I64" s="8"/>
      <c r="J64" s="8"/>
      <c r="K64" s="8"/>
      <c r="L64" s="8"/>
      <c r="M64" s="8"/>
      <c r="N64" s="8"/>
      <c r="O64" s="8"/>
    </row>
    <row r="65" customFormat="false" ht="24.75" hidden="false" customHeight="true" outlineLevel="0" collapsed="false">
      <c r="A65" s="7"/>
      <c r="B65" s="7"/>
      <c r="C65" s="8"/>
      <c r="D65" s="16"/>
      <c r="E65" s="16"/>
      <c r="F65" s="16"/>
      <c r="G65" s="16"/>
      <c r="H65" s="16"/>
      <c r="I65" s="8"/>
      <c r="J65" s="8"/>
      <c r="K65" s="8"/>
      <c r="L65" s="8"/>
      <c r="M65" s="8"/>
      <c r="N65" s="8"/>
      <c r="O65" s="8"/>
    </row>
    <row r="66" customFormat="false" ht="24.75" hidden="false" customHeight="true" outlineLevel="0" collapsed="false">
      <c r="A66" s="7"/>
      <c r="B66" s="7"/>
      <c r="C66" s="8"/>
      <c r="D66" s="16"/>
      <c r="E66" s="16"/>
      <c r="F66" s="16"/>
      <c r="G66" s="16"/>
      <c r="H66" s="16"/>
      <c r="I66" s="8"/>
      <c r="J66" s="8"/>
      <c r="K66" s="8"/>
      <c r="L66" s="8"/>
      <c r="M66" s="8"/>
      <c r="N66" s="8"/>
      <c r="O66" s="8"/>
    </row>
    <row r="67" customFormat="false" ht="24.75" hidden="false" customHeight="true" outlineLevel="0" collapsed="false">
      <c r="A67" s="7"/>
      <c r="B67" s="7"/>
      <c r="C67" s="8"/>
      <c r="D67" s="16"/>
      <c r="E67" s="16"/>
      <c r="F67" s="16"/>
      <c r="G67" s="16"/>
      <c r="H67" s="16"/>
      <c r="I67" s="8"/>
      <c r="J67" s="8"/>
      <c r="K67" s="8"/>
      <c r="L67" s="8"/>
      <c r="M67" s="8"/>
      <c r="N67" s="8"/>
      <c r="O67" s="8"/>
    </row>
    <row r="68" customFormat="false" ht="24.75" hidden="false" customHeight="true" outlineLevel="0" collapsed="false">
      <c r="A68" s="7"/>
      <c r="B68" s="7"/>
      <c r="C68" s="8"/>
      <c r="D68" s="16"/>
      <c r="E68" s="16"/>
      <c r="F68" s="16"/>
      <c r="G68" s="16"/>
      <c r="H68" s="16"/>
      <c r="I68" s="8"/>
      <c r="J68" s="8"/>
      <c r="K68" s="8"/>
      <c r="L68" s="8"/>
      <c r="M68" s="8"/>
      <c r="N68" s="8"/>
      <c r="O68" s="8"/>
    </row>
    <row r="69" customFormat="false" ht="24.75" hidden="false" customHeight="true" outlineLevel="0" collapsed="false">
      <c r="A69" s="7"/>
      <c r="B69" s="7"/>
      <c r="C69" s="8"/>
      <c r="D69" s="16"/>
      <c r="E69" s="16"/>
      <c r="F69" s="16"/>
      <c r="G69" s="16"/>
      <c r="H69" s="16"/>
      <c r="I69" s="8"/>
      <c r="J69" s="8"/>
      <c r="K69" s="8"/>
      <c r="L69" s="8"/>
      <c r="M69" s="8"/>
      <c r="N69" s="8"/>
      <c r="O69" s="8"/>
    </row>
    <row r="70" customFormat="false" ht="24.75" hidden="false" customHeight="true" outlineLevel="0" collapsed="false">
      <c r="A70" s="7"/>
      <c r="B70" s="7"/>
      <c r="C70" s="8"/>
      <c r="D70" s="16"/>
      <c r="E70" s="16"/>
      <c r="F70" s="16"/>
      <c r="G70" s="16"/>
      <c r="H70" s="16"/>
      <c r="I70" s="8"/>
      <c r="J70" s="8"/>
      <c r="K70" s="8"/>
      <c r="L70" s="8"/>
      <c r="M70" s="8"/>
      <c r="N70" s="8"/>
      <c r="O70" s="8"/>
    </row>
    <row r="71" customFormat="false" ht="24.75" hidden="false" customHeight="true" outlineLevel="0" collapsed="false">
      <c r="A71" s="7"/>
      <c r="B71" s="7"/>
      <c r="C71" s="8"/>
      <c r="D71" s="16"/>
      <c r="E71" s="16"/>
      <c r="F71" s="16"/>
      <c r="G71" s="16"/>
      <c r="H71" s="16"/>
      <c r="I71" s="8"/>
      <c r="J71" s="8"/>
      <c r="K71" s="8"/>
      <c r="L71" s="8"/>
      <c r="M71" s="8"/>
      <c r="N71" s="8"/>
      <c r="O71" s="8"/>
    </row>
    <row r="72" customFormat="false" ht="24.75" hidden="false" customHeight="true" outlineLevel="0" collapsed="false">
      <c r="A72" s="7"/>
      <c r="B72" s="7"/>
      <c r="C72" s="8"/>
      <c r="D72" s="16"/>
      <c r="E72" s="16"/>
      <c r="F72" s="16"/>
      <c r="G72" s="16"/>
      <c r="H72" s="16"/>
      <c r="I72" s="8"/>
      <c r="J72" s="8"/>
      <c r="K72" s="8"/>
      <c r="L72" s="8"/>
      <c r="M72" s="8"/>
      <c r="N72" s="8"/>
      <c r="O72" s="8"/>
    </row>
    <row r="73" customFormat="false" ht="24.75" hidden="false" customHeight="true" outlineLevel="0" collapsed="false">
      <c r="A73" s="7"/>
      <c r="B73" s="7"/>
      <c r="C73" s="8"/>
      <c r="D73" s="16"/>
      <c r="E73" s="16"/>
      <c r="F73" s="16"/>
      <c r="G73" s="16"/>
      <c r="H73" s="16"/>
      <c r="I73" s="8"/>
      <c r="J73" s="8"/>
      <c r="K73" s="8"/>
      <c r="L73" s="8"/>
      <c r="M73" s="8"/>
      <c r="N73" s="8"/>
      <c r="O73" s="8"/>
    </row>
    <row r="74" customFormat="false" ht="24.75" hidden="false" customHeight="true" outlineLevel="0" collapsed="false">
      <c r="A74" s="7"/>
      <c r="B74" s="7"/>
      <c r="C74" s="8"/>
      <c r="D74" s="16"/>
      <c r="E74" s="16"/>
      <c r="F74" s="16"/>
      <c r="G74" s="16"/>
      <c r="H74" s="16"/>
      <c r="I74" s="8"/>
      <c r="J74" s="8"/>
      <c r="K74" s="8"/>
      <c r="L74" s="8"/>
      <c r="M74" s="8"/>
      <c r="N74" s="8"/>
      <c r="O74" s="8"/>
    </row>
    <row r="75" customFormat="false" ht="24.75" hidden="false" customHeight="true" outlineLevel="0" collapsed="false">
      <c r="A75" s="7"/>
      <c r="B75" s="7"/>
      <c r="C75" s="8"/>
      <c r="D75" s="16"/>
      <c r="E75" s="16"/>
      <c r="F75" s="16"/>
      <c r="G75" s="16"/>
      <c r="H75" s="16"/>
      <c r="I75" s="8"/>
      <c r="J75" s="8"/>
      <c r="K75" s="8"/>
      <c r="L75" s="8"/>
      <c r="M75" s="8"/>
      <c r="N75" s="8"/>
      <c r="O75" s="8"/>
    </row>
    <row r="76" customFormat="false" ht="24.75" hidden="false" customHeight="true" outlineLevel="0" collapsed="false">
      <c r="A76" s="7"/>
      <c r="B76" s="7"/>
      <c r="C76" s="8"/>
      <c r="D76" s="16"/>
      <c r="E76" s="16"/>
      <c r="F76" s="16"/>
      <c r="G76" s="16"/>
      <c r="H76" s="16"/>
      <c r="I76" s="8"/>
      <c r="J76" s="8"/>
      <c r="K76" s="8"/>
      <c r="L76" s="8"/>
      <c r="M76" s="8"/>
      <c r="N76" s="8"/>
      <c r="O76" s="8"/>
    </row>
    <row r="77" customFormat="false" ht="24.75" hidden="false" customHeight="true" outlineLevel="0" collapsed="false">
      <c r="A77" s="7"/>
      <c r="B77" s="7"/>
      <c r="C77" s="8"/>
      <c r="D77" s="16"/>
      <c r="E77" s="16"/>
      <c r="F77" s="16"/>
      <c r="G77" s="16"/>
      <c r="H77" s="16"/>
      <c r="I77" s="8"/>
      <c r="J77" s="8"/>
      <c r="K77" s="8"/>
      <c r="L77" s="8"/>
      <c r="M77" s="8"/>
      <c r="N77" s="8"/>
      <c r="O77" s="8"/>
    </row>
    <row r="78" customFormat="false" ht="24.75" hidden="false" customHeight="true" outlineLevel="0" collapsed="false">
      <c r="A78" s="7"/>
      <c r="B78" s="7"/>
      <c r="C78" s="8"/>
      <c r="D78" s="16"/>
      <c r="E78" s="16"/>
      <c r="F78" s="16"/>
      <c r="G78" s="16"/>
      <c r="H78" s="16"/>
      <c r="I78" s="8"/>
      <c r="J78" s="8"/>
      <c r="K78" s="8"/>
      <c r="L78" s="8"/>
      <c r="M78" s="8"/>
      <c r="N78" s="8"/>
      <c r="O78" s="8"/>
    </row>
    <row r="79" customFormat="false" ht="24.75" hidden="false" customHeight="true" outlineLevel="0" collapsed="false">
      <c r="A79" s="7"/>
      <c r="B79" s="7"/>
      <c r="C79" s="8"/>
      <c r="D79" s="16"/>
      <c r="E79" s="16"/>
      <c r="F79" s="16"/>
      <c r="G79" s="16"/>
      <c r="H79" s="16"/>
      <c r="I79" s="8"/>
      <c r="J79" s="8"/>
      <c r="K79" s="8"/>
      <c r="L79" s="8"/>
      <c r="M79" s="8"/>
      <c r="N79" s="8"/>
      <c r="O79" s="8"/>
    </row>
    <row r="80" customFormat="false" ht="24.75" hidden="false" customHeight="true" outlineLevel="0" collapsed="false">
      <c r="A80" s="7"/>
      <c r="B80" s="7"/>
      <c r="C80" s="8"/>
      <c r="D80" s="16"/>
      <c r="E80" s="16"/>
      <c r="F80" s="16"/>
      <c r="G80" s="16"/>
      <c r="H80" s="16"/>
      <c r="I80" s="8"/>
      <c r="J80" s="8"/>
      <c r="K80" s="8"/>
      <c r="L80" s="8"/>
      <c r="M80" s="8"/>
      <c r="N80" s="8"/>
      <c r="O80" s="8"/>
    </row>
    <row r="81" customFormat="false" ht="24.75" hidden="false" customHeight="true" outlineLevel="0" collapsed="false">
      <c r="A81" s="7"/>
      <c r="B81" s="7"/>
      <c r="C81" s="8"/>
      <c r="D81" s="16"/>
      <c r="E81" s="16"/>
      <c r="F81" s="16"/>
      <c r="G81" s="16"/>
      <c r="H81" s="16"/>
      <c r="I81" s="8"/>
      <c r="J81" s="8"/>
      <c r="K81" s="8"/>
      <c r="L81" s="8"/>
      <c r="M81" s="8"/>
      <c r="N81" s="8"/>
      <c r="O81" s="8"/>
    </row>
    <row r="82" customFormat="false" ht="24.75" hidden="false" customHeight="true" outlineLevel="0" collapsed="false">
      <c r="A82" s="7"/>
      <c r="B82" s="7"/>
      <c r="C82" s="8"/>
      <c r="D82" s="16"/>
      <c r="E82" s="16"/>
      <c r="F82" s="16"/>
      <c r="G82" s="16"/>
      <c r="H82" s="16"/>
      <c r="I82" s="8"/>
      <c r="J82" s="8"/>
      <c r="K82" s="8"/>
      <c r="L82" s="8"/>
      <c r="M82" s="8"/>
      <c r="N82" s="8"/>
      <c r="O82" s="8"/>
    </row>
    <row r="83" customFormat="false" ht="24.75" hidden="false" customHeight="true" outlineLevel="0" collapsed="false">
      <c r="A83" s="7"/>
      <c r="B83" s="7"/>
      <c r="C83" s="8"/>
      <c r="D83" s="16"/>
      <c r="E83" s="16"/>
      <c r="F83" s="16"/>
      <c r="G83" s="16"/>
      <c r="H83" s="16"/>
      <c r="I83" s="8"/>
      <c r="J83" s="8"/>
      <c r="K83" s="8"/>
      <c r="L83" s="8"/>
      <c r="M83" s="8"/>
      <c r="N83" s="8"/>
      <c r="O83" s="8"/>
    </row>
    <row r="84" customFormat="false" ht="24.75" hidden="false" customHeight="true" outlineLevel="0" collapsed="false">
      <c r="A84" s="7"/>
      <c r="B84" s="7"/>
      <c r="C84" s="8"/>
      <c r="D84" s="16"/>
      <c r="E84" s="16"/>
      <c r="F84" s="16"/>
      <c r="G84" s="16"/>
      <c r="H84" s="16"/>
      <c r="I84" s="8"/>
      <c r="J84" s="8"/>
      <c r="K84" s="8"/>
      <c r="L84" s="8"/>
      <c r="M84" s="8"/>
      <c r="N84" s="8"/>
      <c r="O84" s="8"/>
    </row>
    <row r="85" customFormat="false" ht="24.75" hidden="false" customHeight="true" outlineLevel="0" collapsed="false">
      <c r="A85" s="7"/>
      <c r="B85" s="7"/>
      <c r="C85" s="8"/>
      <c r="D85" s="16"/>
      <c r="E85" s="16"/>
      <c r="F85" s="16"/>
      <c r="G85" s="16"/>
      <c r="H85" s="16"/>
      <c r="I85" s="8"/>
      <c r="J85" s="8"/>
      <c r="K85" s="8"/>
      <c r="L85" s="8"/>
      <c r="M85" s="8"/>
      <c r="N85" s="8"/>
      <c r="O85" s="8"/>
    </row>
    <row r="86" customFormat="false" ht="24.75" hidden="false" customHeight="true" outlineLevel="0" collapsed="false">
      <c r="A86" s="7"/>
      <c r="B86" s="7"/>
      <c r="C86" s="8"/>
      <c r="D86" s="16"/>
      <c r="E86" s="16"/>
      <c r="F86" s="16"/>
      <c r="G86" s="16"/>
      <c r="H86" s="16"/>
      <c r="I86" s="8"/>
      <c r="J86" s="8"/>
      <c r="K86" s="8"/>
      <c r="L86" s="8"/>
      <c r="M86" s="8"/>
      <c r="N86" s="8"/>
      <c r="O86" s="8"/>
    </row>
    <row r="87" customFormat="false" ht="24.75" hidden="false" customHeight="true" outlineLevel="0" collapsed="false">
      <c r="A87" s="7"/>
      <c r="B87" s="7"/>
      <c r="C87" s="8"/>
      <c r="D87" s="16"/>
      <c r="E87" s="16"/>
      <c r="F87" s="16"/>
      <c r="G87" s="16"/>
      <c r="H87" s="16"/>
      <c r="I87" s="8"/>
      <c r="J87" s="8"/>
      <c r="K87" s="8"/>
      <c r="L87" s="8"/>
      <c r="M87" s="8"/>
      <c r="N87" s="8"/>
      <c r="O87" s="8"/>
    </row>
    <row r="88" customFormat="false" ht="24.75" hidden="false" customHeight="true" outlineLevel="0" collapsed="false">
      <c r="A88" s="7"/>
      <c r="B88" s="7"/>
      <c r="C88" s="8"/>
      <c r="D88" s="16"/>
      <c r="E88" s="16"/>
      <c r="F88" s="16"/>
      <c r="G88" s="16"/>
      <c r="H88" s="16"/>
      <c r="I88" s="8"/>
      <c r="J88" s="8"/>
      <c r="K88" s="8"/>
      <c r="L88" s="8"/>
      <c r="M88" s="8"/>
      <c r="N88" s="8"/>
      <c r="O88" s="8"/>
    </row>
    <row r="89" customFormat="false" ht="24.75" hidden="false" customHeight="true" outlineLevel="0" collapsed="false">
      <c r="A89" s="7"/>
      <c r="B89" s="7"/>
      <c r="C89" s="8"/>
      <c r="D89" s="16"/>
      <c r="E89" s="16"/>
      <c r="F89" s="16"/>
      <c r="G89" s="16"/>
      <c r="H89" s="16"/>
      <c r="I89" s="8"/>
      <c r="J89" s="8"/>
      <c r="K89" s="8"/>
      <c r="L89" s="8"/>
      <c r="M89" s="8"/>
      <c r="N89" s="8"/>
      <c r="O89" s="8"/>
    </row>
    <row r="90" customFormat="false" ht="24.75" hidden="false" customHeight="true" outlineLevel="0" collapsed="false">
      <c r="A90" s="7"/>
      <c r="B90" s="7"/>
      <c r="C90" s="8"/>
      <c r="D90" s="16"/>
      <c r="E90" s="16"/>
      <c r="F90" s="16"/>
      <c r="G90" s="16"/>
      <c r="H90" s="16"/>
      <c r="I90" s="8"/>
      <c r="J90" s="8"/>
      <c r="K90" s="8"/>
      <c r="L90" s="8"/>
      <c r="M90" s="8"/>
      <c r="N90" s="8"/>
      <c r="O90" s="8"/>
    </row>
    <row r="91" customFormat="false" ht="24.75" hidden="false" customHeight="true" outlineLevel="0" collapsed="false">
      <c r="A91" s="7"/>
      <c r="B91" s="7"/>
      <c r="C91" s="8"/>
      <c r="D91" s="16"/>
      <c r="E91" s="16"/>
      <c r="F91" s="16"/>
      <c r="G91" s="16"/>
      <c r="H91" s="16"/>
      <c r="I91" s="8"/>
      <c r="J91" s="8"/>
      <c r="K91" s="8"/>
      <c r="L91" s="8"/>
      <c r="M91" s="8"/>
      <c r="N91" s="8"/>
      <c r="O91" s="8"/>
    </row>
    <row r="92" customFormat="false" ht="24.75" hidden="false" customHeight="true" outlineLevel="0" collapsed="false">
      <c r="A92" s="7"/>
      <c r="B92" s="7"/>
      <c r="C92" s="8"/>
      <c r="D92" s="16"/>
      <c r="E92" s="16"/>
      <c r="F92" s="16"/>
      <c r="G92" s="16"/>
      <c r="H92" s="16"/>
      <c r="I92" s="8"/>
      <c r="J92" s="8"/>
      <c r="K92" s="8"/>
      <c r="L92" s="8"/>
      <c r="M92" s="8"/>
      <c r="N92" s="8"/>
      <c r="O92" s="8"/>
    </row>
    <row r="93" customFormat="false" ht="24.75" hidden="false" customHeight="true" outlineLevel="0" collapsed="false">
      <c r="A93" s="7"/>
      <c r="B93" s="7"/>
      <c r="C93" s="8"/>
      <c r="D93" s="16"/>
      <c r="E93" s="16"/>
      <c r="F93" s="16"/>
      <c r="G93" s="16"/>
      <c r="H93" s="16"/>
      <c r="I93" s="8"/>
      <c r="J93" s="8"/>
      <c r="K93" s="8"/>
      <c r="L93" s="8"/>
      <c r="M93" s="8"/>
      <c r="N93" s="8"/>
      <c r="O93" s="8"/>
    </row>
    <row r="94" customFormat="false" ht="24.75" hidden="false" customHeight="true" outlineLevel="0" collapsed="false">
      <c r="A94" s="7"/>
      <c r="B94" s="7"/>
      <c r="C94" s="8"/>
      <c r="D94" s="16"/>
      <c r="E94" s="16"/>
      <c r="F94" s="16"/>
      <c r="G94" s="16"/>
      <c r="H94" s="16"/>
      <c r="I94" s="8"/>
      <c r="J94" s="8"/>
      <c r="K94" s="8"/>
      <c r="L94" s="8"/>
      <c r="M94" s="8"/>
      <c r="N94" s="8"/>
      <c r="O94" s="8"/>
    </row>
    <row r="95" customFormat="false" ht="24.75" hidden="false" customHeight="true" outlineLevel="0" collapsed="false">
      <c r="A95" s="7"/>
      <c r="B95" s="7"/>
      <c r="C95" s="8"/>
      <c r="D95" s="16"/>
      <c r="E95" s="16"/>
      <c r="F95" s="16"/>
      <c r="G95" s="16"/>
      <c r="H95" s="16"/>
      <c r="I95" s="8"/>
      <c r="J95" s="8"/>
      <c r="K95" s="8"/>
      <c r="L95" s="8"/>
      <c r="M95" s="8"/>
      <c r="N95" s="8"/>
      <c r="O95" s="8"/>
    </row>
    <row r="96" customFormat="false" ht="24.75" hidden="false" customHeight="true" outlineLevel="0" collapsed="false">
      <c r="A96" s="7"/>
      <c r="B96" s="7"/>
      <c r="C96" s="8"/>
      <c r="D96" s="16"/>
      <c r="E96" s="16"/>
      <c r="F96" s="16"/>
      <c r="G96" s="16"/>
      <c r="H96" s="16"/>
      <c r="I96" s="8"/>
      <c r="J96" s="8"/>
      <c r="K96" s="8"/>
      <c r="L96" s="8"/>
      <c r="M96" s="8"/>
      <c r="N96" s="8"/>
      <c r="O96" s="8"/>
    </row>
    <row r="97" customFormat="false" ht="24.75" hidden="false" customHeight="true" outlineLevel="0" collapsed="false">
      <c r="A97" s="7"/>
      <c r="B97" s="7"/>
      <c r="C97" s="8"/>
      <c r="D97" s="16"/>
      <c r="E97" s="16"/>
      <c r="F97" s="16"/>
      <c r="G97" s="16"/>
      <c r="H97" s="16"/>
      <c r="I97" s="8"/>
      <c r="J97" s="8"/>
      <c r="K97" s="8"/>
      <c r="L97" s="8"/>
      <c r="M97" s="8"/>
      <c r="N97" s="8"/>
      <c r="O97" s="8"/>
    </row>
    <row r="98" customFormat="false" ht="24.75" hidden="false" customHeight="true" outlineLevel="0" collapsed="false">
      <c r="A98" s="7"/>
      <c r="B98" s="7"/>
      <c r="C98" s="8"/>
      <c r="D98" s="16"/>
      <c r="E98" s="16"/>
      <c r="F98" s="16"/>
      <c r="G98" s="16"/>
      <c r="H98" s="16"/>
      <c r="I98" s="8"/>
      <c r="J98" s="8"/>
      <c r="K98" s="8"/>
      <c r="L98" s="8"/>
      <c r="M98" s="8"/>
      <c r="N98" s="8"/>
      <c r="O98" s="8"/>
    </row>
    <row r="99" customFormat="false" ht="24.75" hidden="false" customHeight="true" outlineLevel="0" collapsed="false">
      <c r="A99" s="7"/>
      <c r="B99" s="7"/>
      <c r="C99" s="8"/>
      <c r="D99" s="16"/>
      <c r="E99" s="16"/>
      <c r="F99" s="16"/>
      <c r="G99" s="16"/>
      <c r="H99" s="16"/>
      <c r="I99" s="8"/>
      <c r="J99" s="8"/>
      <c r="K99" s="8"/>
      <c r="L99" s="8"/>
      <c r="M99" s="8"/>
      <c r="N99" s="8"/>
      <c r="O99" s="8"/>
    </row>
    <row r="100" customFormat="false" ht="24.75" hidden="false" customHeight="true" outlineLevel="0" collapsed="false">
      <c r="A100" s="7"/>
      <c r="B100" s="7"/>
      <c r="C100" s="8"/>
      <c r="D100" s="16"/>
      <c r="E100" s="16"/>
      <c r="F100" s="16"/>
      <c r="G100" s="16"/>
      <c r="H100" s="16"/>
      <c r="I100" s="8"/>
      <c r="J100" s="8"/>
      <c r="K100" s="8"/>
      <c r="L100" s="8"/>
      <c r="M100" s="8"/>
      <c r="N100" s="8"/>
      <c r="O100" s="8"/>
    </row>
    <row r="101" customFormat="false" ht="24.75" hidden="false" customHeight="true" outlineLevel="0" collapsed="false">
      <c r="A101" s="7"/>
      <c r="B101" s="7"/>
      <c r="C101" s="8"/>
      <c r="D101" s="16"/>
      <c r="E101" s="16"/>
      <c r="F101" s="16"/>
      <c r="G101" s="16"/>
      <c r="H101" s="16"/>
      <c r="I101" s="8"/>
      <c r="J101" s="8"/>
      <c r="K101" s="8"/>
      <c r="L101" s="8"/>
      <c r="M101" s="8"/>
      <c r="N101" s="8"/>
      <c r="O101" s="8"/>
    </row>
    <row r="102" customFormat="false" ht="24.75" hidden="false" customHeight="true" outlineLevel="0" collapsed="false">
      <c r="A102" s="7"/>
      <c r="B102" s="7"/>
      <c r="C102" s="8"/>
      <c r="D102" s="16"/>
      <c r="E102" s="16"/>
      <c r="F102" s="16"/>
      <c r="G102" s="16"/>
      <c r="H102" s="16"/>
      <c r="I102" s="8"/>
      <c r="J102" s="8"/>
      <c r="K102" s="8"/>
      <c r="L102" s="8"/>
      <c r="M102" s="8"/>
      <c r="N102" s="8"/>
      <c r="O102" s="8"/>
    </row>
    <row r="103" customFormat="false" ht="24.75" hidden="false" customHeight="true" outlineLevel="0" collapsed="false">
      <c r="A103" s="7"/>
      <c r="B103" s="7"/>
      <c r="C103" s="8"/>
      <c r="D103" s="16"/>
      <c r="E103" s="16"/>
      <c r="F103" s="16"/>
      <c r="G103" s="16"/>
      <c r="H103" s="16"/>
      <c r="I103" s="8"/>
      <c r="J103" s="8"/>
      <c r="K103" s="8"/>
      <c r="L103" s="8"/>
      <c r="M103" s="8"/>
      <c r="N103" s="8"/>
      <c r="O103" s="8"/>
    </row>
    <row r="104" customFormat="false" ht="24.75" hidden="false" customHeight="true" outlineLevel="0" collapsed="false">
      <c r="A104" s="7"/>
      <c r="B104" s="7"/>
      <c r="C104" s="8"/>
      <c r="D104" s="16"/>
      <c r="E104" s="16"/>
      <c r="F104" s="16"/>
      <c r="G104" s="16"/>
      <c r="H104" s="16"/>
      <c r="I104" s="8"/>
      <c r="J104" s="8"/>
      <c r="K104" s="8"/>
      <c r="L104" s="8"/>
      <c r="M104" s="8"/>
      <c r="N104" s="8"/>
      <c r="O104" s="8"/>
    </row>
    <row r="105" customFormat="false" ht="24.75" hidden="false" customHeight="true" outlineLevel="0" collapsed="false">
      <c r="A105" s="7"/>
      <c r="B105" s="7"/>
      <c r="C105" s="8"/>
      <c r="D105" s="16"/>
      <c r="E105" s="16"/>
      <c r="F105" s="16"/>
      <c r="G105" s="16"/>
      <c r="H105" s="16"/>
      <c r="I105" s="8"/>
      <c r="J105" s="8"/>
      <c r="K105" s="8"/>
      <c r="L105" s="8"/>
      <c r="M105" s="8"/>
      <c r="N105" s="8"/>
      <c r="O105" s="8"/>
    </row>
    <row r="106" customFormat="false" ht="24.75" hidden="false" customHeight="true" outlineLevel="0" collapsed="false">
      <c r="A106" s="7"/>
      <c r="B106" s="7"/>
      <c r="C106" s="8"/>
      <c r="D106" s="16"/>
      <c r="E106" s="16"/>
      <c r="F106" s="16"/>
      <c r="G106" s="16"/>
      <c r="H106" s="16"/>
      <c r="I106" s="8"/>
      <c r="J106" s="8"/>
      <c r="K106" s="8"/>
      <c r="L106" s="8"/>
      <c r="M106" s="8"/>
      <c r="N106" s="8"/>
      <c r="O106" s="8"/>
    </row>
    <row r="107" customFormat="false" ht="24.75" hidden="false" customHeight="true" outlineLevel="0" collapsed="false">
      <c r="A107" s="7"/>
      <c r="B107" s="7"/>
      <c r="C107" s="8"/>
      <c r="D107" s="16"/>
      <c r="E107" s="16"/>
      <c r="F107" s="16"/>
      <c r="G107" s="16"/>
      <c r="H107" s="16"/>
      <c r="I107" s="8"/>
      <c r="J107" s="8"/>
      <c r="K107" s="8"/>
      <c r="L107" s="8"/>
      <c r="M107" s="8"/>
      <c r="N107" s="8"/>
      <c r="O107" s="8"/>
    </row>
    <row r="108" customFormat="false" ht="24.75" hidden="false" customHeight="true" outlineLevel="0" collapsed="false">
      <c r="A108" s="7"/>
      <c r="B108" s="7"/>
      <c r="C108" s="8"/>
      <c r="D108" s="16"/>
      <c r="E108" s="16"/>
      <c r="F108" s="16"/>
      <c r="G108" s="16"/>
      <c r="H108" s="16"/>
      <c r="I108" s="8"/>
      <c r="J108" s="8"/>
      <c r="K108" s="8"/>
      <c r="L108" s="8"/>
      <c r="M108" s="8"/>
      <c r="N108" s="8"/>
      <c r="O108" s="8"/>
    </row>
    <row r="109" customFormat="false" ht="24.75" hidden="false" customHeight="true" outlineLevel="0" collapsed="false">
      <c r="A109" s="7"/>
      <c r="B109" s="7"/>
      <c r="C109" s="8"/>
      <c r="D109" s="16"/>
      <c r="E109" s="16"/>
      <c r="F109" s="16"/>
      <c r="G109" s="16"/>
      <c r="H109" s="16"/>
      <c r="I109" s="8"/>
      <c r="J109" s="8"/>
      <c r="K109" s="8"/>
      <c r="L109" s="8"/>
      <c r="M109" s="8"/>
      <c r="N109" s="8"/>
      <c r="O109" s="8"/>
    </row>
    <row r="110" customFormat="false" ht="24.75" hidden="false" customHeight="true" outlineLevel="0" collapsed="false">
      <c r="A110" s="7"/>
      <c r="B110" s="7"/>
      <c r="C110" s="8"/>
      <c r="D110" s="16"/>
      <c r="E110" s="16"/>
      <c r="F110" s="16"/>
      <c r="G110" s="16"/>
      <c r="H110" s="16"/>
      <c r="I110" s="8"/>
      <c r="J110" s="8"/>
      <c r="K110" s="8"/>
      <c r="L110" s="8"/>
      <c r="M110" s="8"/>
      <c r="N110" s="8"/>
      <c r="O110" s="8"/>
    </row>
    <row r="111" customFormat="false" ht="24.75" hidden="false" customHeight="true" outlineLevel="0" collapsed="false">
      <c r="A111" s="7"/>
      <c r="B111" s="7"/>
      <c r="C111" s="8"/>
      <c r="D111" s="16"/>
      <c r="E111" s="16"/>
      <c r="F111" s="16"/>
      <c r="G111" s="16"/>
      <c r="H111" s="16"/>
      <c r="I111" s="8"/>
      <c r="J111" s="8"/>
      <c r="K111" s="8"/>
      <c r="L111" s="8"/>
      <c r="M111" s="8"/>
      <c r="N111" s="8"/>
      <c r="O111" s="8"/>
    </row>
    <row r="112" customFormat="false" ht="24.75" hidden="false" customHeight="true" outlineLevel="0" collapsed="false">
      <c r="A112" s="7"/>
      <c r="B112" s="7"/>
      <c r="C112" s="8"/>
      <c r="D112" s="16"/>
      <c r="E112" s="16"/>
      <c r="F112" s="16"/>
      <c r="G112" s="16"/>
      <c r="H112" s="16"/>
      <c r="I112" s="8"/>
      <c r="J112" s="8"/>
      <c r="K112" s="8"/>
      <c r="L112" s="8"/>
      <c r="M112" s="8"/>
      <c r="N112" s="8"/>
      <c r="O112" s="8"/>
    </row>
    <row r="113" customFormat="false" ht="24.75" hidden="false" customHeight="true" outlineLevel="0" collapsed="false">
      <c r="A113" s="7"/>
      <c r="B113" s="7"/>
      <c r="C113" s="8"/>
      <c r="D113" s="16"/>
      <c r="E113" s="16"/>
      <c r="F113" s="16"/>
      <c r="G113" s="16"/>
      <c r="H113" s="16"/>
      <c r="I113" s="8"/>
      <c r="J113" s="8"/>
      <c r="K113" s="8"/>
      <c r="L113" s="8"/>
      <c r="M113" s="8"/>
      <c r="N113" s="8"/>
      <c r="O113" s="8"/>
    </row>
    <row r="114" customFormat="false" ht="24.75" hidden="false" customHeight="true" outlineLevel="0" collapsed="false">
      <c r="A114" s="7"/>
      <c r="B114" s="7"/>
      <c r="C114" s="8"/>
      <c r="D114" s="16"/>
      <c r="E114" s="16"/>
      <c r="F114" s="16"/>
      <c r="G114" s="16"/>
      <c r="H114" s="16"/>
      <c r="I114" s="8"/>
      <c r="J114" s="8"/>
      <c r="K114" s="8"/>
      <c r="L114" s="8"/>
      <c r="M114" s="8"/>
      <c r="N114" s="8"/>
      <c r="O114" s="8"/>
    </row>
    <row r="115" customFormat="false" ht="24.75" hidden="false" customHeight="true" outlineLevel="0" collapsed="false">
      <c r="A115" s="7"/>
      <c r="B115" s="7"/>
      <c r="C115" s="8"/>
      <c r="D115" s="16"/>
      <c r="E115" s="16"/>
      <c r="F115" s="16"/>
      <c r="G115" s="16"/>
      <c r="H115" s="16"/>
      <c r="I115" s="8"/>
      <c r="J115" s="8"/>
      <c r="K115" s="8"/>
      <c r="L115" s="8"/>
      <c r="M115" s="8"/>
      <c r="N115" s="8"/>
      <c r="O115" s="8"/>
    </row>
  </sheetData>
  <mergeCells count="2">
    <mergeCell ref="C2:H2"/>
    <mergeCell ref="C37:H37"/>
  </mergeCells>
  <dataValidations count="1">
    <dataValidation allowBlank="false" errorStyle="stop" operator="between" showDropDown="false" showErrorMessage="false" showInputMessage="false" sqref="F6:F29" type="whole">
      <formula1>0</formula1>
      <formula2>1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1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1" width="3"/>
    <col collapsed="false" customWidth="true" hidden="false" outlineLevel="0" max="3" min="3" style="1" width="45"/>
    <col collapsed="false" customWidth="true" hidden="false" outlineLevel="0" max="4" min="4" style="1" width="42"/>
    <col collapsed="false" customWidth="true" hidden="false" outlineLevel="0" max="10" min="5" style="1" width="18"/>
    <col collapsed="false" customWidth="true" hidden="false" outlineLevel="0" max="15" min="11" style="1" width="15"/>
  </cols>
  <sheetData>
    <row r="1" customFormat="false" ht="15" hidden="false" customHeight="false" outlineLevel="0" collapsed="false">
      <c r="A1" s="7"/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customFormat="false" ht="36.75" hidden="false" customHeight="true" outlineLevel="0" collapsed="false">
      <c r="A2" s="7"/>
      <c r="B2" s="7"/>
      <c r="C2" s="59" t="s">
        <v>353</v>
      </c>
      <c r="D2" s="59"/>
      <c r="E2" s="59"/>
      <c r="F2" s="59"/>
      <c r="G2" s="59"/>
      <c r="H2" s="59"/>
      <c r="I2" s="8"/>
      <c r="J2" s="8"/>
      <c r="K2" s="8"/>
      <c r="L2" s="8"/>
      <c r="M2" s="8"/>
      <c r="N2" s="8"/>
      <c r="O2" s="8"/>
    </row>
    <row r="3" customFormat="false" ht="15" hidden="false" customHeight="false" outlineLevel="0" collapsed="false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customFormat="false" ht="24.75" hidden="false" customHeight="true" outlineLevel="0" collapsed="false">
      <c r="A4" s="7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customFormat="false" ht="30" hidden="false" customHeight="true" outlineLevel="0" collapsed="false">
      <c r="A5" s="7"/>
      <c r="B5" s="7"/>
      <c r="C5" s="60" t="s">
        <v>80</v>
      </c>
      <c r="D5" s="61" t="s">
        <v>354</v>
      </c>
      <c r="E5" s="61" t="s">
        <v>355</v>
      </c>
      <c r="F5" s="61" t="s">
        <v>356</v>
      </c>
      <c r="G5" s="61" t="s">
        <v>357</v>
      </c>
      <c r="H5" s="61" t="s">
        <v>358</v>
      </c>
      <c r="I5" s="60" t="s">
        <v>359</v>
      </c>
      <c r="J5" s="60" t="s">
        <v>360</v>
      </c>
      <c r="K5" s="8"/>
      <c r="L5" s="8"/>
      <c r="M5" s="8"/>
      <c r="N5" s="8"/>
      <c r="O5" s="8"/>
    </row>
    <row r="6" customFormat="false" ht="24.75" hidden="false" customHeight="true" outlineLevel="0" collapsed="false">
      <c r="A6" s="7"/>
      <c r="B6" s="7"/>
      <c r="C6" s="8" t="s">
        <v>46</v>
      </c>
      <c r="D6" s="16" t="s">
        <v>361</v>
      </c>
      <c r="E6" s="62" t="n">
        <v>240</v>
      </c>
      <c r="F6" s="62" t="n">
        <v>480</v>
      </c>
      <c r="G6" s="62" t="n">
        <v>840</v>
      </c>
      <c r="H6" s="62" t="n">
        <v>6000</v>
      </c>
      <c r="I6" s="63" t="n">
        <v>0.15</v>
      </c>
      <c r="J6" s="63" t="n">
        <v>0.1</v>
      </c>
      <c r="K6" s="8"/>
      <c r="L6" s="8"/>
      <c r="M6" s="8"/>
      <c r="N6" s="8"/>
      <c r="O6" s="8"/>
    </row>
    <row r="7" customFormat="false" ht="24.75" hidden="false" customHeight="true" outlineLevel="0" collapsed="false">
      <c r="A7" s="7"/>
      <c r="B7" s="7"/>
      <c r="C7" s="8" t="s">
        <v>46</v>
      </c>
      <c r="D7" s="16" t="s">
        <v>362</v>
      </c>
      <c r="E7" s="62" t="n">
        <v>6</v>
      </c>
      <c r="F7" s="62" t="n">
        <v>10</v>
      </c>
      <c r="G7" s="62" t="n">
        <v>16</v>
      </c>
      <c r="H7" s="62" t="n">
        <v>180000</v>
      </c>
      <c r="I7" s="63" t="n">
        <v>1</v>
      </c>
      <c r="J7" s="63" t="n">
        <v>0.6</v>
      </c>
      <c r="K7" s="8"/>
      <c r="L7" s="8"/>
      <c r="M7" s="8"/>
      <c r="N7" s="8"/>
      <c r="O7" s="8"/>
    </row>
    <row r="8" customFormat="false" ht="24.75" hidden="false" customHeight="true" outlineLevel="0" collapsed="false">
      <c r="A8" s="7"/>
      <c r="B8" s="7"/>
      <c r="C8" s="8" t="s">
        <v>46</v>
      </c>
      <c r="D8" s="16" t="s">
        <v>363</v>
      </c>
      <c r="E8" s="62" t="n">
        <v>12</v>
      </c>
      <c r="F8" s="62" t="n">
        <v>24</v>
      </c>
      <c r="G8" s="62" t="n">
        <v>36</v>
      </c>
      <c r="H8" s="62" t="n">
        <v>15000</v>
      </c>
      <c r="I8" s="63" t="n">
        <v>1</v>
      </c>
      <c r="J8" s="63" t="n">
        <v>0.4</v>
      </c>
      <c r="K8" s="8"/>
      <c r="L8" s="8"/>
      <c r="M8" s="8"/>
      <c r="N8" s="8"/>
      <c r="O8" s="8"/>
    </row>
    <row r="9" customFormat="false" ht="24.75" hidden="false" customHeight="true" outlineLevel="0" collapsed="false">
      <c r="A9" s="7"/>
      <c r="B9" s="7"/>
      <c r="C9" s="8" t="s">
        <v>47</v>
      </c>
      <c r="D9" s="16" t="s">
        <v>364</v>
      </c>
      <c r="E9" s="62" t="n">
        <v>600</v>
      </c>
      <c r="F9" s="62" t="n">
        <v>1200</v>
      </c>
      <c r="G9" s="62" t="n">
        <v>2100</v>
      </c>
      <c r="H9" s="62" t="n">
        <v>600</v>
      </c>
      <c r="I9" s="63" t="n">
        <v>1</v>
      </c>
      <c r="J9" s="63" t="n">
        <v>0.2</v>
      </c>
      <c r="K9" s="8"/>
      <c r="L9" s="8"/>
      <c r="M9" s="8"/>
      <c r="N9" s="8"/>
      <c r="O9" s="8"/>
    </row>
    <row r="10" customFormat="false" ht="24.75" hidden="false" customHeight="true" outlineLevel="0" collapsed="false">
      <c r="A10" s="7"/>
      <c r="B10" s="7"/>
      <c r="C10" s="8" t="s">
        <v>47</v>
      </c>
      <c r="D10" s="16" t="s">
        <v>365</v>
      </c>
      <c r="E10" s="62" t="n">
        <v>240</v>
      </c>
      <c r="F10" s="62" t="n">
        <v>360</v>
      </c>
      <c r="G10" s="62" t="n">
        <v>480</v>
      </c>
      <c r="H10" s="62" t="n">
        <v>3000</v>
      </c>
      <c r="I10" s="63" t="n">
        <v>1</v>
      </c>
      <c r="J10" s="63" t="n">
        <v>0.35</v>
      </c>
      <c r="K10" s="8"/>
      <c r="L10" s="8"/>
      <c r="M10" s="8"/>
      <c r="N10" s="8"/>
      <c r="O10" s="8"/>
    </row>
    <row r="11" customFormat="false" ht="24.75" hidden="false" customHeight="true" outlineLevel="0" collapsed="false">
      <c r="A11" s="7"/>
      <c r="B11" s="7"/>
      <c r="C11" s="8" t="s">
        <v>47</v>
      </c>
      <c r="D11" s="16" t="s">
        <v>366</v>
      </c>
      <c r="E11" s="62" t="n">
        <v>4</v>
      </c>
      <c r="F11" s="62" t="n">
        <v>8</v>
      </c>
      <c r="G11" s="62" t="n">
        <v>12</v>
      </c>
      <c r="H11" s="62" t="n">
        <v>100000</v>
      </c>
      <c r="I11" s="63" t="n">
        <v>1</v>
      </c>
      <c r="J11" s="63" t="n">
        <v>0.4</v>
      </c>
      <c r="K11" s="8"/>
      <c r="L11" s="8"/>
      <c r="M11" s="8"/>
      <c r="N11" s="8"/>
      <c r="O11" s="8"/>
    </row>
    <row r="12" customFormat="false" ht="24.75" hidden="false" customHeight="true" outlineLevel="0" collapsed="false">
      <c r="A12" s="7"/>
      <c r="B12" s="7"/>
      <c r="C12" s="8" t="s">
        <v>48</v>
      </c>
      <c r="D12" s="16" t="s">
        <v>364</v>
      </c>
      <c r="E12" s="62" t="n">
        <v>2000</v>
      </c>
      <c r="F12" s="62" t="n">
        <v>4000</v>
      </c>
      <c r="G12" s="62" t="n">
        <v>7000</v>
      </c>
      <c r="H12" s="62" t="n">
        <v>300</v>
      </c>
      <c r="I12" s="63" t="n">
        <v>1</v>
      </c>
      <c r="J12" s="63" t="n">
        <v>0.2</v>
      </c>
      <c r="K12" s="8"/>
      <c r="L12" s="8"/>
      <c r="M12" s="8"/>
      <c r="N12" s="8"/>
      <c r="O12" s="8"/>
    </row>
    <row r="13" customFormat="false" ht="24.75" hidden="false" customHeight="true" outlineLevel="0" collapsed="false">
      <c r="A13" s="7"/>
      <c r="B13" s="7"/>
      <c r="C13" s="8" t="s">
        <v>48</v>
      </c>
      <c r="D13" s="16" t="s">
        <v>367</v>
      </c>
      <c r="E13" s="62" t="n">
        <v>4</v>
      </c>
      <c r="F13" s="62" t="n">
        <v>6</v>
      </c>
      <c r="G13" s="62" t="n">
        <v>8</v>
      </c>
      <c r="H13" s="62" t="n">
        <v>300000</v>
      </c>
      <c r="I13" s="63" t="n">
        <v>1</v>
      </c>
      <c r="J13" s="63" t="n">
        <v>0.5</v>
      </c>
      <c r="K13" s="8"/>
      <c r="L13" s="8"/>
      <c r="M13" s="8"/>
      <c r="N13" s="8"/>
      <c r="O13" s="8"/>
    </row>
    <row r="14" customFormat="false" ht="24.75" hidden="false" customHeight="true" outlineLevel="0" collapsed="false">
      <c r="A14" s="7"/>
      <c r="B14" s="7"/>
      <c r="C14" s="8" t="s">
        <v>48</v>
      </c>
      <c r="D14" s="16" t="s">
        <v>368</v>
      </c>
      <c r="E14" s="62" t="n">
        <v>6</v>
      </c>
      <c r="F14" s="62" t="n">
        <v>8</v>
      </c>
      <c r="G14" s="62" t="n">
        <v>10</v>
      </c>
      <c r="H14" s="62" t="n">
        <v>180000</v>
      </c>
      <c r="I14" s="63" t="n">
        <v>1</v>
      </c>
      <c r="J14" s="63" t="n">
        <v>0.55</v>
      </c>
      <c r="K14" s="8"/>
      <c r="L14" s="8"/>
      <c r="M14" s="8"/>
      <c r="N14" s="8"/>
      <c r="O14" s="8"/>
    </row>
    <row r="15" customFormat="false" ht="24.75" hidden="false" customHeight="true" outlineLevel="0" collapsed="false">
      <c r="A15" s="7"/>
      <c r="B15" s="7"/>
      <c r="C15" s="8" t="s">
        <v>48</v>
      </c>
      <c r="D15" s="16" t="s">
        <v>369</v>
      </c>
      <c r="E15" s="62" t="n">
        <v>3</v>
      </c>
      <c r="F15" s="62" t="n">
        <v>5</v>
      </c>
      <c r="G15" s="62" t="n">
        <v>7</v>
      </c>
      <c r="H15" s="62" t="n">
        <v>500000</v>
      </c>
      <c r="I15" s="63" t="n">
        <v>1</v>
      </c>
      <c r="J15" s="63" t="n">
        <v>0.65</v>
      </c>
      <c r="K15" s="8"/>
      <c r="L15" s="8"/>
      <c r="M15" s="8"/>
      <c r="N15" s="8"/>
      <c r="O15" s="8"/>
    </row>
    <row r="16" customFormat="false" ht="24.75" hidden="false" customHeight="true" outlineLevel="0" collapsed="false">
      <c r="A16" s="7"/>
      <c r="B16" s="7"/>
      <c r="C16" s="8" t="s">
        <v>48</v>
      </c>
      <c r="D16" s="16" t="s">
        <v>370</v>
      </c>
      <c r="E16" s="62" t="n">
        <v>6</v>
      </c>
      <c r="F16" s="62" t="n">
        <v>10</v>
      </c>
      <c r="G16" s="62" t="n">
        <v>14</v>
      </c>
      <c r="H16" s="62" t="n">
        <v>120000</v>
      </c>
      <c r="I16" s="63" t="n">
        <v>1</v>
      </c>
      <c r="J16" s="63" t="n">
        <v>0.45</v>
      </c>
      <c r="K16" s="8"/>
      <c r="L16" s="8"/>
      <c r="M16" s="8"/>
      <c r="N16" s="8"/>
      <c r="O16" s="8"/>
    </row>
    <row r="17" customFormat="false" ht="24.75" hidden="false" customHeight="true" outlineLevel="0" collapsed="false">
      <c r="A17" s="7"/>
      <c r="B17" s="7"/>
      <c r="C17" s="8"/>
      <c r="D17" s="16"/>
      <c r="E17" s="16"/>
      <c r="F17" s="16"/>
      <c r="G17" s="16"/>
      <c r="H17" s="16"/>
      <c r="I17" s="8"/>
      <c r="J17" s="8"/>
      <c r="K17" s="8"/>
      <c r="L17" s="8"/>
      <c r="M17" s="8"/>
      <c r="N17" s="8"/>
      <c r="O17" s="8"/>
    </row>
    <row r="18" customFormat="false" ht="24.75" hidden="false" customHeight="true" outlineLevel="0" collapsed="false">
      <c r="A18" s="7"/>
      <c r="B18" s="7"/>
      <c r="C18" s="8"/>
      <c r="D18" s="16"/>
      <c r="E18" s="16"/>
      <c r="F18" s="16"/>
      <c r="G18" s="16"/>
      <c r="H18" s="16"/>
      <c r="I18" s="8"/>
      <c r="J18" s="8"/>
      <c r="K18" s="8"/>
      <c r="L18" s="8"/>
      <c r="M18" s="8"/>
      <c r="N18" s="8"/>
      <c r="O18" s="8"/>
    </row>
    <row r="19" customFormat="false" ht="24.75" hidden="false" customHeight="true" outlineLevel="0" collapsed="false">
      <c r="A19" s="7"/>
      <c r="B19" s="7"/>
      <c r="C19" s="8"/>
      <c r="D19" s="16"/>
      <c r="E19" s="16"/>
      <c r="F19" s="16"/>
      <c r="G19" s="16"/>
      <c r="H19" s="16"/>
      <c r="I19" s="8"/>
      <c r="J19" s="8"/>
      <c r="K19" s="8"/>
      <c r="L19" s="8"/>
      <c r="M19" s="8"/>
      <c r="N19" s="8"/>
      <c r="O19" s="8"/>
    </row>
    <row r="20" customFormat="false" ht="30" hidden="false" customHeight="true" outlineLevel="0" collapsed="false">
      <c r="A20" s="7"/>
      <c r="B20" s="7"/>
      <c r="C20" s="60" t="s">
        <v>371</v>
      </c>
      <c r="D20" s="64" t="s">
        <v>372</v>
      </c>
      <c r="E20" s="64" t="s">
        <v>373</v>
      </c>
      <c r="F20" s="64" t="s">
        <v>374</v>
      </c>
      <c r="G20" s="61" t="s">
        <v>375</v>
      </c>
      <c r="H20" s="16"/>
      <c r="I20" s="8"/>
      <c r="J20" s="8"/>
      <c r="K20" s="8"/>
      <c r="L20" s="8"/>
      <c r="M20" s="8"/>
      <c r="N20" s="8"/>
      <c r="O20" s="8"/>
    </row>
    <row r="21" customFormat="false" ht="24.75" hidden="false" customHeight="true" outlineLevel="0" collapsed="false">
      <c r="A21" s="7"/>
      <c r="B21" s="7"/>
      <c r="C21" s="8" t="s">
        <v>376</v>
      </c>
      <c r="D21" s="62" t="n">
        <v>650000</v>
      </c>
      <c r="E21" s="62" t="n">
        <v>750000</v>
      </c>
      <c r="F21" s="62" t="n">
        <v>900000</v>
      </c>
      <c r="G21" s="16" t="s">
        <v>377</v>
      </c>
      <c r="H21" s="16"/>
      <c r="I21" s="8"/>
      <c r="J21" s="8"/>
      <c r="K21" s="8"/>
      <c r="L21" s="8"/>
      <c r="M21" s="8"/>
      <c r="N21" s="8"/>
      <c r="O21" s="8"/>
    </row>
    <row r="22" customFormat="false" ht="24.75" hidden="false" customHeight="true" outlineLevel="0" collapsed="false">
      <c r="A22" s="7"/>
      <c r="B22" s="7"/>
      <c r="C22" s="8" t="s">
        <v>378</v>
      </c>
      <c r="D22" s="62" t="n">
        <v>850000</v>
      </c>
      <c r="E22" s="62" t="n">
        <v>1000000</v>
      </c>
      <c r="F22" s="62" t="n">
        <v>1200000</v>
      </c>
      <c r="G22" s="16" t="s">
        <v>377</v>
      </c>
      <c r="H22" s="16"/>
      <c r="I22" s="8"/>
      <c r="J22" s="8"/>
      <c r="K22" s="8"/>
      <c r="L22" s="8"/>
      <c r="M22" s="8"/>
      <c r="N22" s="8"/>
      <c r="O22" s="8"/>
    </row>
    <row r="23" customFormat="false" ht="24.75" hidden="false" customHeight="true" outlineLevel="0" collapsed="false">
      <c r="A23" s="7"/>
      <c r="B23" s="7"/>
      <c r="C23" s="8" t="s">
        <v>379</v>
      </c>
      <c r="D23" s="62" t="n">
        <v>2200000</v>
      </c>
      <c r="E23" s="62" t="n">
        <v>2600000</v>
      </c>
      <c r="F23" s="62" t="n">
        <v>3100000</v>
      </c>
      <c r="G23" s="16" t="s">
        <v>377</v>
      </c>
      <c r="H23" s="16"/>
      <c r="I23" s="8"/>
      <c r="J23" s="8"/>
      <c r="K23" s="8"/>
      <c r="L23" s="8"/>
      <c r="M23" s="8"/>
      <c r="N23" s="8"/>
      <c r="O23" s="8"/>
    </row>
    <row r="24" customFormat="false" ht="24.75" hidden="false" customHeight="true" outlineLevel="0" collapsed="false">
      <c r="A24" s="7"/>
      <c r="B24" s="7"/>
      <c r="C24" s="8"/>
      <c r="D24" s="62"/>
      <c r="E24" s="62"/>
      <c r="F24" s="62"/>
      <c r="G24" s="16"/>
      <c r="H24" s="16"/>
      <c r="I24" s="8"/>
      <c r="J24" s="8"/>
      <c r="K24" s="8"/>
      <c r="L24" s="8"/>
      <c r="M24" s="8"/>
      <c r="N24" s="8"/>
      <c r="O24" s="8"/>
    </row>
    <row r="25" customFormat="false" ht="24.75" hidden="false" customHeight="true" outlineLevel="0" collapsed="false">
      <c r="A25" s="7"/>
      <c r="B25" s="7"/>
      <c r="C25" s="8"/>
      <c r="D25" s="62"/>
      <c r="E25" s="62"/>
      <c r="F25" s="62"/>
      <c r="G25" s="16"/>
      <c r="H25" s="16"/>
      <c r="I25" s="8"/>
      <c r="J25" s="8"/>
      <c r="K25" s="8"/>
      <c r="L25" s="8"/>
      <c r="M25" s="8"/>
      <c r="N25" s="8"/>
      <c r="O25" s="8"/>
    </row>
    <row r="26" customFormat="false" ht="24.75" hidden="false" customHeight="true" outlineLevel="0" collapsed="false">
      <c r="A26" s="7"/>
      <c r="B26" s="7"/>
      <c r="C26" s="8" t="s">
        <v>380</v>
      </c>
      <c r="D26" s="62" t="n">
        <v>60000</v>
      </c>
      <c r="E26" s="62" t="n">
        <v>80000</v>
      </c>
      <c r="F26" s="62" t="n">
        <v>100000</v>
      </c>
      <c r="G26" s="16"/>
      <c r="H26" s="16"/>
      <c r="I26" s="8"/>
      <c r="J26" s="8"/>
      <c r="K26" s="8"/>
      <c r="L26" s="8"/>
      <c r="M26" s="8"/>
      <c r="N26" s="8"/>
      <c r="O26" s="8"/>
    </row>
    <row r="27" customFormat="false" ht="24.75" hidden="false" customHeight="true" outlineLevel="0" collapsed="false">
      <c r="A27" s="7"/>
      <c r="B27" s="7"/>
      <c r="C27" s="8" t="s">
        <v>381</v>
      </c>
      <c r="D27" s="62" t="n">
        <v>90000</v>
      </c>
      <c r="E27" s="62" t="n">
        <v>120000</v>
      </c>
      <c r="F27" s="62" t="n">
        <v>150000</v>
      </c>
      <c r="G27" s="16"/>
      <c r="H27" s="16"/>
      <c r="I27" s="8"/>
      <c r="J27" s="8"/>
      <c r="K27" s="8"/>
      <c r="L27" s="8"/>
      <c r="M27" s="8"/>
      <c r="N27" s="8"/>
      <c r="O27" s="8"/>
    </row>
    <row r="28" customFormat="false" ht="24.75" hidden="false" customHeight="true" outlineLevel="0" collapsed="false">
      <c r="A28" s="7"/>
      <c r="B28" s="7"/>
      <c r="C28" s="8" t="s">
        <v>382</v>
      </c>
      <c r="D28" s="62" t="n">
        <v>250000</v>
      </c>
      <c r="E28" s="62" t="n">
        <v>350000</v>
      </c>
      <c r="F28" s="62" t="n">
        <v>450000</v>
      </c>
      <c r="G28" s="16"/>
      <c r="H28" s="16"/>
      <c r="I28" s="8"/>
      <c r="J28" s="8"/>
      <c r="K28" s="8"/>
      <c r="L28" s="8"/>
      <c r="M28" s="8"/>
      <c r="N28" s="8"/>
      <c r="O28" s="8"/>
    </row>
    <row r="29" customFormat="false" ht="24.75" hidden="false" customHeight="true" outlineLevel="0" collapsed="false">
      <c r="A29" s="7"/>
      <c r="B29" s="7"/>
      <c r="C29" s="8"/>
      <c r="D29" s="62"/>
      <c r="E29" s="62"/>
      <c r="F29" s="62"/>
      <c r="G29" s="16"/>
      <c r="H29" s="16"/>
      <c r="I29" s="8"/>
      <c r="J29" s="8"/>
      <c r="K29" s="8"/>
      <c r="L29" s="8"/>
      <c r="M29" s="8"/>
      <c r="N29" s="8"/>
      <c r="O29" s="8"/>
    </row>
    <row r="30" customFormat="false" ht="24.75" hidden="false" customHeight="true" outlineLevel="0" collapsed="false">
      <c r="A30" s="7"/>
      <c r="B30" s="7"/>
      <c r="C30" s="8"/>
      <c r="D30" s="62"/>
      <c r="E30" s="62"/>
      <c r="F30" s="62"/>
      <c r="G30" s="16"/>
      <c r="H30" s="16"/>
      <c r="I30" s="8"/>
      <c r="J30" s="8"/>
      <c r="K30" s="8"/>
      <c r="L30" s="8"/>
      <c r="M30" s="8"/>
      <c r="N30" s="8"/>
      <c r="O30" s="8"/>
    </row>
    <row r="31" customFormat="false" ht="24.75" hidden="false" customHeight="true" outlineLevel="0" collapsed="false">
      <c r="A31" s="7"/>
      <c r="B31" s="7"/>
      <c r="C31" s="8" t="s">
        <v>383</v>
      </c>
      <c r="D31" s="62" t="n">
        <v>300000</v>
      </c>
      <c r="E31" s="62" t="n">
        <v>40000</v>
      </c>
      <c r="F31" s="62" t="n">
        <v>50000</v>
      </c>
      <c r="G31" s="16"/>
      <c r="H31" s="16"/>
      <c r="I31" s="8"/>
      <c r="J31" s="8"/>
      <c r="K31" s="8"/>
      <c r="L31" s="8"/>
      <c r="M31" s="8"/>
      <c r="N31" s="8"/>
      <c r="O31" s="8"/>
    </row>
    <row r="32" customFormat="false" ht="24.75" hidden="false" customHeight="true" outlineLevel="0" collapsed="false">
      <c r="A32" s="7"/>
      <c r="B32" s="7"/>
      <c r="C32" s="8" t="s">
        <v>384</v>
      </c>
      <c r="D32" s="62" t="n">
        <v>500000</v>
      </c>
      <c r="E32" s="62" t="n">
        <v>50000</v>
      </c>
      <c r="F32" s="62" t="n">
        <v>70000</v>
      </c>
      <c r="G32" s="16"/>
      <c r="H32" s="16"/>
      <c r="I32" s="8"/>
      <c r="J32" s="8"/>
      <c r="K32" s="8"/>
      <c r="L32" s="8"/>
      <c r="M32" s="8"/>
      <c r="N32" s="8"/>
      <c r="O32" s="8"/>
    </row>
    <row r="33" customFormat="false" ht="24.75" hidden="false" customHeight="true" outlineLevel="0" collapsed="false">
      <c r="A33" s="7"/>
      <c r="B33" s="7"/>
      <c r="C33" s="8" t="s">
        <v>385</v>
      </c>
      <c r="D33" s="62" t="n">
        <v>1560000</v>
      </c>
      <c r="E33" s="62" t="n">
        <v>150000</v>
      </c>
      <c r="F33" s="62" t="n">
        <v>200000</v>
      </c>
      <c r="G33" s="16"/>
      <c r="H33" s="16"/>
      <c r="I33" s="8"/>
      <c r="J33" s="8"/>
      <c r="K33" s="8"/>
      <c r="L33" s="8"/>
      <c r="M33" s="8"/>
      <c r="N33" s="8"/>
      <c r="O33" s="8"/>
    </row>
    <row r="34" customFormat="false" ht="24.75" hidden="false" customHeight="true" outlineLevel="0" collapsed="false">
      <c r="A34" s="7"/>
      <c r="B34" s="7"/>
      <c r="C34" s="8"/>
      <c r="D34" s="62"/>
      <c r="E34" s="62"/>
      <c r="F34" s="62"/>
      <c r="G34" s="16"/>
      <c r="H34" s="16"/>
      <c r="I34" s="8"/>
      <c r="J34" s="8"/>
      <c r="K34" s="8"/>
      <c r="L34" s="8"/>
      <c r="M34" s="8"/>
      <c r="N34" s="8"/>
      <c r="O34" s="8"/>
    </row>
    <row r="35" customFormat="false" ht="24.75" hidden="false" customHeight="true" outlineLevel="0" collapsed="false">
      <c r="A35" s="7"/>
      <c r="B35" s="7"/>
      <c r="C35" s="8"/>
      <c r="D35" s="62"/>
      <c r="E35" s="62"/>
      <c r="F35" s="62"/>
      <c r="G35" s="16"/>
      <c r="H35" s="16"/>
      <c r="I35" s="8"/>
      <c r="J35" s="8"/>
      <c r="K35" s="8"/>
      <c r="L35" s="8"/>
      <c r="M35" s="8"/>
      <c r="N35" s="8"/>
      <c r="O35" s="8"/>
    </row>
    <row r="36" customFormat="false" ht="24.75" hidden="false" customHeight="true" outlineLevel="0" collapsed="false">
      <c r="A36" s="7"/>
      <c r="B36" s="7"/>
      <c r="C36" s="8" t="s">
        <v>386</v>
      </c>
      <c r="D36" s="62" t="n">
        <v>150000</v>
      </c>
      <c r="E36" s="62"/>
      <c r="F36" s="62"/>
      <c r="G36" s="16"/>
      <c r="H36" s="16"/>
      <c r="I36" s="8"/>
      <c r="J36" s="8"/>
      <c r="K36" s="8"/>
      <c r="L36" s="8"/>
      <c r="M36" s="8"/>
      <c r="N36" s="8"/>
      <c r="O36" s="8"/>
    </row>
    <row r="37" customFormat="false" ht="24.75" hidden="false" customHeight="true" outlineLevel="0" collapsed="false">
      <c r="A37" s="7"/>
      <c r="B37" s="7"/>
      <c r="C37" s="8" t="s">
        <v>387</v>
      </c>
      <c r="D37" s="62" t="n">
        <v>110000</v>
      </c>
      <c r="E37" s="62"/>
      <c r="F37" s="62"/>
      <c r="G37" s="16"/>
      <c r="H37" s="16"/>
      <c r="I37" s="8"/>
      <c r="J37" s="8"/>
      <c r="K37" s="8"/>
      <c r="L37" s="8"/>
      <c r="M37" s="8"/>
      <c r="N37" s="8"/>
      <c r="O37" s="8"/>
    </row>
    <row r="38" customFormat="false" ht="24.75" hidden="false" customHeight="true" outlineLevel="0" collapsed="false">
      <c r="A38" s="7"/>
      <c r="B38" s="7"/>
      <c r="C38" s="8" t="s">
        <v>388</v>
      </c>
      <c r="D38" s="62" t="n">
        <v>750000</v>
      </c>
      <c r="E38" s="62"/>
      <c r="F38" s="62"/>
      <c r="G38" s="16"/>
      <c r="H38" s="16"/>
      <c r="I38" s="8"/>
      <c r="J38" s="8"/>
      <c r="K38" s="8"/>
      <c r="L38" s="8"/>
      <c r="M38" s="8"/>
      <c r="N38" s="8"/>
      <c r="O38" s="8"/>
    </row>
    <row r="39" customFormat="false" ht="24.75" hidden="false" customHeight="true" outlineLevel="0" collapsed="false">
      <c r="A39" s="7"/>
      <c r="B39" s="7"/>
      <c r="C39" s="8"/>
      <c r="D39" s="16"/>
      <c r="E39" s="16"/>
      <c r="F39" s="16"/>
      <c r="G39" s="16"/>
      <c r="H39" s="16"/>
      <c r="I39" s="8"/>
      <c r="J39" s="8"/>
      <c r="K39" s="8"/>
      <c r="L39" s="8"/>
      <c r="M39" s="8"/>
      <c r="N39" s="8"/>
      <c r="O39" s="8"/>
    </row>
    <row r="40" customFormat="false" ht="24.75" hidden="false" customHeight="true" outlineLevel="0" collapsed="false">
      <c r="A40" s="7"/>
      <c r="B40" s="7"/>
      <c r="C40" s="8"/>
      <c r="D40" s="16"/>
      <c r="E40" s="16"/>
      <c r="F40" s="16"/>
      <c r="G40" s="16"/>
      <c r="H40" s="16"/>
      <c r="I40" s="8"/>
      <c r="J40" s="8"/>
      <c r="K40" s="8"/>
      <c r="L40" s="8"/>
      <c r="M40" s="8"/>
      <c r="N40" s="8"/>
      <c r="O40" s="8"/>
    </row>
    <row r="41" customFormat="false" ht="39" hidden="false" customHeight="true" outlineLevel="0" collapsed="false">
      <c r="A41" s="7"/>
      <c r="B41" s="7"/>
      <c r="C41" s="65" t="s">
        <v>389</v>
      </c>
      <c r="D41" s="65"/>
      <c r="E41" s="65"/>
      <c r="F41" s="65"/>
      <c r="G41" s="65"/>
      <c r="H41" s="65"/>
      <c r="I41" s="8"/>
      <c r="J41" s="8"/>
      <c r="K41" s="8"/>
      <c r="L41" s="8"/>
      <c r="M41" s="8"/>
      <c r="N41" s="8"/>
      <c r="O41" s="8"/>
    </row>
    <row r="42" customFormat="false" ht="39" hidden="false" customHeight="true" outlineLevel="0" collapsed="false">
      <c r="A42" s="7"/>
      <c r="B42" s="7"/>
      <c r="C42" s="65" t="s">
        <v>390</v>
      </c>
      <c r="D42" s="65"/>
      <c r="E42" s="65"/>
      <c r="F42" s="65"/>
      <c r="G42" s="65"/>
      <c r="H42" s="65"/>
      <c r="I42" s="8"/>
      <c r="J42" s="8"/>
      <c r="K42" s="8"/>
      <c r="L42" s="8"/>
      <c r="M42" s="8"/>
      <c r="N42" s="8"/>
      <c r="O42" s="8"/>
    </row>
    <row r="43" customFormat="false" ht="39" hidden="false" customHeight="true" outlineLevel="0" collapsed="false">
      <c r="A43" s="7"/>
      <c r="B43" s="7"/>
      <c r="C43" s="65" t="s">
        <v>391</v>
      </c>
      <c r="D43" s="65"/>
      <c r="E43" s="65"/>
      <c r="F43" s="65"/>
      <c r="G43" s="65"/>
      <c r="H43" s="65"/>
      <c r="I43" s="8"/>
      <c r="J43" s="8"/>
      <c r="K43" s="8"/>
      <c r="L43" s="8"/>
      <c r="M43" s="8"/>
      <c r="N43" s="8"/>
      <c r="O43" s="8"/>
    </row>
    <row r="44" customFormat="false" ht="39" hidden="false" customHeight="true" outlineLevel="0" collapsed="false">
      <c r="A44" s="7"/>
      <c r="B44" s="7"/>
      <c r="C44" s="65" t="s">
        <v>392</v>
      </c>
      <c r="D44" s="65"/>
      <c r="E44" s="65"/>
      <c r="F44" s="65"/>
      <c r="G44" s="65"/>
      <c r="H44" s="65"/>
      <c r="I44" s="8"/>
      <c r="J44" s="8"/>
      <c r="K44" s="8"/>
      <c r="L44" s="8"/>
      <c r="M44" s="8"/>
      <c r="N44" s="8"/>
      <c r="O44" s="8"/>
    </row>
    <row r="45" customFormat="false" ht="39" hidden="false" customHeight="true" outlineLevel="0" collapsed="false">
      <c r="A45" s="7"/>
      <c r="B45" s="7"/>
      <c r="C45" s="65" t="s">
        <v>393</v>
      </c>
      <c r="D45" s="65"/>
      <c r="E45" s="65"/>
      <c r="F45" s="65"/>
      <c r="G45" s="65"/>
      <c r="H45" s="65"/>
      <c r="I45" s="8"/>
      <c r="J45" s="8"/>
      <c r="K45" s="8"/>
      <c r="L45" s="8"/>
      <c r="M45" s="8"/>
      <c r="N45" s="8"/>
      <c r="O45" s="8"/>
    </row>
    <row r="46" customFormat="false" ht="24.75" hidden="false" customHeight="true" outlineLevel="0" collapsed="false">
      <c r="A46" s="7"/>
      <c r="B46" s="7"/>
      <c r="C46" s="8"/>
      <c r="D46" s="16"/>
      <c r="E46" s="16"/>
      <c r="F46" s="16"/>
      <c r="G46" s="16"/>
      <c r="H46" s="16"/>
      <c r="I46" s="8"/>
      <c r="J46" s="8"/>
      <c r="K46" s="8"/>
      <c r="L46" s="8"/>
      <c r="M46" s="8"/>
      <c r="N46" s="8"/>
      <c r="O46" s="8"/>
    </row>
    <row r="47" customFormat="false" ht="24.75" hidden="false" customHeight="true" outlineLevel="0" collapsed="false">
      <c r="A47" s="7"/>
      <c r="B47" s="7"/>
      <c r="C47" s="8"/>
      <c r="D47" s="16"/>
      <c r="E47" s="16"/>
      <c r="F47" s="16"/>
      <c r="G47" s="16"/>
      <c r="H47" s="16"/>
      <c r="I47" s="8"/>
      <c r="J47" s="8"/>
      <c r="K47" s="8"/>
      <c r="L47" s="8"/>
      <c r="M47" s="8"/>
      <c r="N47" s="8"/>
      <c r="O47" s="8"/>
    </row>
    <row r="48" customFormat="false" ht="24.75" hidden="false" customHeight="true" outlineLevel="0" collapsed="false">
      <c r="A48" s="7"/>
      <c r="B48" s="7"/>
      <c r="C48" s="8"/>
      <c r="D48" s="16"/>
      <c r="E48" s="16"/>
      <c r="F48" s="16"/>
      <c r="G48" s="16"/>
      <c r="H48" s="16"/>
      <c r="I48" s="8"/>
      <c r="J48" s="8"/>
      <c r="K48" s="8"/>
      <c r="L48" s="8"/>
      <c r="M48" s="8"/>
      <c r="N48" s="8"/>
      <c r="O48" s="8"/>
    </row>
    <row r="49" customFormat="false" ht="24.75" hidden="false" customHeight="true" outlineLevel="0" collapsed="false">
      <c r="A49" s="7"/>
      <c r="B49" s="7"/>
      <c r="C49" s="8"/>
      <c r="D49" s="16"/>
      <c r="E49" s="16"/>
      <c r="F49" s="16"/>
      <c r="G49" s="16"/>
      <c r="H49" s="16"/>
      <c r="I49" s="8"/>
      <c r="J49" s="8"/>
      <c r="K49" s="8"/>
      <c r="L49" s="8"/>
      <c r="M49" s="8"/>
      <c r="N49" s="8"/>
      <c r="O49" s="8"/>
    </row>
    <row r="50" customFormat="false" ht="24.75" hidden="false" customHeight="true" outlineLevel="0" collapsed="false">
      <c r="A50" s="7"/>
      <c r="B50" s="7"/>
      <c r="C50" s="8"/>
      <c r="D50" s="16"/>
      <c r="E50" s="16"/>
      <c r="F50" s="16"/>
      <c r="G50" s="16"/>
      <c r="H50" s="16"/>
      <c r="I50" s="8"/>
      <c r="J50" s="8"/>
      <c r="K50" s="8"/>
      <c r="L50" s="8"/>
      <c r="M50" s="8"/>
      <c r="N50" s="8"/>
      <c r="O50" s="8"/>
    </row>
    <row r="51" customFormat="false" ht="24.75" hidden="false" customHeight="true" outlineLevel="0" collapsed="false">
      <c r="A51" s="7"/>
      <c r="B51" s="7"/>
      <c r="C51" s="8"/>
      <c r="D51" s="16"/>
      <c r="E51" s="16"/>
      <c r="F51" s="16"/>
      <c r="G51" s="16"/>
      <c r="H51" s="16"/>
      <c r="I51" s="8"/>
      <c r="J51" s="8"/>
      <c r="K51" s="8"/>
      <c r="L51" s="8"/>
      <c r="M51" s="8"/>
      <c r="N51" s="8"/>
      <c r="O51" s="8"/>
    </row>
    <row r="52" customFormat="false" ht="24.75" hidden="false" customHeight="true" outlineLevel="0" collapsed="false">
      <c r="A52" s="7"/>
      <c r="B52" s="7"/>
      <c r="C52" s="8"/>
      <c r="D52" s="16"/>
      <c r="E52" s="16"/>
      <c r="F52" s="16"/>
      <c r="G52" s="16"/>
      <c r="H52" s="16"/>
      <c r="I52" s="8"/>
      <c r="J52" s="8"/>
      <c r="K52" s="8"/>
      <c r="L52" s="8"/>
      <c r="M52" s="8"/>
      <c r="N52" s="8"/>
      <c r="O52" s="8"/>
    </row>
    <row r="53" customFormat="false" ht="24.75" hidden="false" customHeight="true" outlineLevel="0" collapsed="false">
      <c r="A53" s="7"/>
      <c r="B53" s="7"/>
      <c r="C53" s="8"/>
      <c r="D53" s="16"/>
      <c r="E53" s="16"/>
      <c r="F53" s="16"/>
      <c r="G53" s="16"/>
      <c r="H53" s="16"/>
      <c r="I53" s="8"/>
      <c r="J53" s="8"/>
      <c r="K53" s="8"/>
      <c r="L53" s="8"/>
      <c r="M53" s="8"/>
      <c r="N53" s="8"/>
      <c r="O53" s="8"/>
    </row>
    <row r="54" customFormat="false" ht="24.75" hidden="false" customHeight="true" outlineLevel="0" collapsed="false">
      <c r="A54" s="7"/>
      <c r="B54" s="7"/>
      <c r="C54" s="8"/>
      <c r="D54" s="16"/>
      <c r="E54" s="16"/>
      <c r="F54" s="16"/>
      <c r="G54" s="16"/>
      <c r="H54" s="16"/>
      <c r="I54" s="8"/>
      <c r="J54" s="8"/>
      <c r="K54" s="8"/>
      <c r="L54" s="8"/>
      <c r="M54" s="8"/>
      <c r="N54" s="8"/>
      <c r="O54" s="8"/>
    </row>
    <row r="55" customFormat="false" ht="24.75" hidden="false" customHeight="true" outlineLevel="0" collapsed="false">
      <c r="A55" s="7"/>
      <c r="B55" s="7"/>
      <c r="C55" s="8"/>
      <c r="D55" s="16"/>
      <c r="E55" s="16"/>
      <c r="F55" s="16"/>
      <c r="G55" s="16"/>
      <c r="H55" s="16"/>
      <c r="I55" s="8"/>
      <c r="J55" s="8"/>
      <c r="K55" s="8"/>
      <c r="L55" s="8"/>
      <c r="M55" s="8"/>
      <c r="N55" s="8"/>
      <c r="O55" s="8"/>
    </row>
    <row r="56" customFormat="false" ht="24.75" hidden="false" customHeight="true" outlineLevel="0" collapsed="false">
      <c r="A56" s="7"/>
      <c r="B56" s="7"/>
      <c r="C56" s="8"/>
      <c r="D56" s="16"/>
      <c r="E56" s="16"/>
      <c r="F56" s="16"/>
      <c r="G56" s="16"/>
      <c r="H56" s="16"/>
      <c r="I56" s="8"/>
      <c r="J56" s="8"/>
      <c r="K56" s="8"/>
      <c r="L56" s="8"/>
      <c r="M56" s="8"/>
      <c r="N56" s="8"/>
      <c r="O56" s="8"/>
    </row>
    <row r="57" customFormat="false" ht="24.75" hidden="false" customHeight="true" outlineLevel="0" collapsed="false">
      <c r="A57" s="7"/>
      <c r="B57" s="7"/>
      <c r="C57" s="8"/>
      <c r="D57" s="16"/>
      <c r="E57" s="16"/>
      <c r="F57" s="16"/>
      <c r="G57" s="16"/>
      <c r="H57" s="16"/>
      <c r="I57" s="8"/>
      <c r="J57" s="8"/>
      <c r="K57" s="8"/>
      <c r="L57" s="8"/>
      <c r="M57" s="8"/>
      <c r="N57" s="8"/>
      <c r="O57" s="8"/>
    </row>
    <row r="58" customFormat="false" ht="24.75" hidden="false" customHeight="true" outlineLevel="0" collapsed="false">
      <c r="A58" s="7"/>
      <c r="B58" s="7"/>
      <c r="C58" s="8"/>
      <c r="D58" s="16"/>
      <c r="E58" s="16"/>
      <c r="F58" s="16"/>
      <c r="G58" s="16"/>
      <c r="H58" s="16"/>
      <c r="I58" s="8"/>
      <c r="J58" s="8"/>
      <c r="K58" s="8"/>
      <c r="L58" s="8"/>
      <c r="M58" s="8"/>
      <c r="N58" s="8"/>
      <c r="O58" s="8"/>
    </row>
    <row r="59" customFormat="false" ht="24.75" hidden="false" customHeight="true" outlineLevel="0" collapsed="false">
      <c r="A59" s="7"/>
      <c r="B59" s="7"/>
      <c r="C59" s="8"/>
      <c r="D59" s="16"/>
      <c r="E59" s="16"/>
      <c r="F59" s="16"/>
      <c r="G59" s="16"/>
      <c r="H59" s="16"/>
      <c r="I59" s="8"/>
      <c r="J59" s="8"/>
      <c r="K59" s="8"/>
      <c r="L59" s="8"/>
      <c r="M59" s="8"/>
      <c r="N59" s="8"/>
      <c r="O59" s="8"/>
    </row>
    <row r="60" customFormat="false" ht="24.75" hidden="false" customHeight="true" outlineLevel="0" collapsed="false">
      <c r="A60" s="7"/>
      <c r="B60" s="7"/>
      <c r="C60" s="8"/>
      <c r="D60" s="16"/>
      <c r="E60" s="16"/>
      <c r="F60" s="16"/>
      <c r="G60" s="16"/>
      <c r="H60" s="16"/>
      <c r="I60" s="8"/>
      <c r="J60" s="8"/>
      <c r="K60" s="8"/>
      <c r="L60" s="8"/>
      <c r="M60" s="8"/>
      <c r="N60" s="8"/>
      <c r="O60" s="8"/>
    </row>
    <row r="61" customFormat="false" ht="24.75" hidden="false" customHeight="true" outlineLevel="0" collapsed="false">
      <c r="A61" s="7"/>
      <c r="B61" s="7"/>
      <c r="C61" s="8"/>
      <c r="D61" s="16"/>
      <c r="E61" s="16"/>
      <c r="F61" s="16"/>
      <c r="G61" s="16"/>
      <c r="H61" s="16"/>
      <c r="I61" s="8"/>
      <c r="J61" s="8"/>
      <c r="K61" s="8"/>
      <c r="L61" s="8"/>
      <c r="M61" s="8"/>
      <c r="N61" s="8"/>
      <c r="O61" s="8"/>
    </row>
    <row r="62" customFormat="false" ht="24.75" hidden="false" customHeight="true" outlineLevel="0" collapsed="false">
      <c r="A62" s="7"/>
      <c r="B62" s="7"/>
      <c r="C62" s="8"/>
      <c r="D62" s="16"/>
      <c r="E62" s="16"/>
      <c r="F62" s="16"/>
      <c r="G62" s="16"/>
      <c r="H62" s="16"/>
      <c r="I62" s="8"/>
      <c r="J62" s="8"/>
      <c r="K62" s="8"/>
      <c r="L62" s="8"/>
      <c r="M62" s="8"/>
      <c r="N62" s="8"/>
      <c r="O62" s="8"/>
    </row>
    <row r="63" customFormat="false" ht="24.75" hidden="false" customHeight="true" outlineLevel="0" collapsed="false">
      <c r="A63" s="7"/>
      <c r="B63" s="7"/>
      <c r="C63" s="8"/>
      <c r="D63" s="16"/>
      <c r="E63" s="16"/>
      <c r="F63" s="16"/>
      <c r="G63" s="16"/>
      <c r="H63" s="16"/>
      <c r="I63" s="8"/>
      <c r="J63" s="8"/>
      <c r="K63" s="8"/>
      <c r="L63" s="8"/>
      <c r="M63" s="8"/>
      <c r="N63" s="8"/>
      <c r="O63" s="8"/>
    </row>
    <row r="64" customFormat="false" ht="24.75" hidden="false" customHeight="true" outlineLevel="0" collapsed="false">
      <c r="A64" s="7"/>
      <c r="B64" s="7"/>
      <c r="C64" s="8"/>
      <c r="D64" s="16"/>
      <c r="E64" s="16"/>
      <c r="F64" s="16"/>
      <c r="G64" s="16"/>
      <c r="H64" s="16"/>
      <c r="I64" s="8"/>
      <c r="J64" s="8"/>
      <c r="K64" s="8"/>
      <c r="L64" s="8"/>
      <c r="M64" s="8"/>
      <c r="N64" s="8"/>
      <c r="O64" s="8"/>
    </row>
    <row r="65" customFormat="false" ht="24.75" hidden="false" customHeight="true" outlineLevel="0" collapsed="false">
      <c r="A65" s="7"/>
      <c r="B65" s="7"/>
      <c r="C65" s="8"/>
      <c r="D65" s="16"/>
      <c r="E65" s="16"/>
      <c r="F65" s="16"/>
      <c r="G65" s="16"/>
      <c r="H65" s="16"/>
      <c r="I65" s="8"/>
      <c r="J65" s="8"/>
      <c r="K65" s="8"/>
      <c r="L65" s="8"/>
      <c r="M65" s="8"/>
      <c r="N65" s="8"/>
      <c r="O65" s="8"/>
    </row>
    <row r="66" customFormat="false" ht="24.75" hidden="false" customHeight="true" outlineLevel="0" collapsed="false">
      <c r="A66" s="7"/>
      <c r="B66" s="7"/>
      <c r="C66" s="8"/>
      <c r="D66" s="16"/>
      <c r="E66" s="16"/>
      <c r="F66" s="16"/>
      <c r="G66" s="16"/>
      <c r="H66" s="16"/>
      <c r="I66" s="8"/>
      <c r="J66" s="8"/>
      <c r="K66" s="8"/>
      <c r="L66" s="8"/>
      <c r="M66" s="8"/>
      <c r="N66" s="8"/>
      <c r="O66" s="8"/>
    </row>
    <row r="67" customFormat="false" ht="24.75" hidden="false" customHeight="true" outlineLevel="0" collapsed="false">
      <c r="A67" s="7"/>
      <c r="B67" s="7"/>
      <c r="C67" s="8"/>
      <c r="D67" s="16"/>
      <c r="E67" s="16"/>
      <c r="F67" s="16"/>
      <c r="G67" s="16"/>
      <c r="H67" s="16"/>
      <c r="I67" s="8"/>
      <c r="J67" s="8"/>
      <c r="K67" s="8"/>
      <c r="L67" s="8"/>
      <c r="M67" s="8"/>
      <c r="N67" s="8"/>
      <c r="O67" s="8"/>
    </row>
    <row r="68" customFormat="false" ht="24.75" hidden="false" customHeight="true" outlineLevel="0" collapsed="false">
      <c r="A68" s="7"/>
      <c r="B68" s="7"/>
      <c r="C68" s="8"/>
      <c r="D68" s="16"/>
      <c r="E68" s="16"/>
      <c r="F68" s="16"/>
      <c r="G68" s="16"/>
      <c r="H68" s="16"/>
      <c r="I68" s="8"/>
      <c r="J68" s="8"/>
      <c r="K68" s="8"/>
      <c r="L68" s="8"/>
      <c r="M68" s="8"/>
      <c r="N68" s="8"/>
      <c r="O68" s="8"/>
    </row>
    <row r="69" customFormat="false" ht="24.75" hidden="false" customHeight="true" outlineLevel="0" collapsed="false">
      <c r="A69" s="7"/>
      <c r="B69" s="7"/>
      <c r="C69" s="8"/>
      <c r="D69" s="16"/>
      <c r="E69" s="16"/>
      <c r="F69" s="16"/>
      <c r="G69" s="16"/>
      <c r="H69" s="16"/>
      <c r="I69" s="8"/>
      <c r="J69" s="8"/>
      <c r="K69" s="8"/>
      <c r="L69" s="8"/>
      <c r="M69" s="8"/>
      <c r="N69" s="8"/>
      <c r="O69" s="8"/>
    </row>
    <row r="70" customFormat="false" ht="24.75" hidden="false" customHeight="true" outlineLevel="0" collapsed="false">
      <c r="A70" s="7"/>
      <c r="B70" s="7"/>
      <c r="C70" s="8"/>
      <c r="D70" s="16"/>
      <c r="E70" s="16"/>
      <c r="F70" s="16"/>
      <c r="G70" s="16"/>
      <c r="H70" s="16"/>
      <c r="I70" s="8"/>
      <c r="J70" s="8"/>
      <c r="K70" s="8"/>
      <c r="L70" s="8"/>
      <c r="M70" s="8"/>
      <c r="N70" s="8"/>
      <c r="O70" s="8"/>
    </row>
    <row r="71" customFormat="false" ht="24.75" hidden="false" customHeight="true" outlineLevel="0" collapsed="false">
      <c r="A71" s="7"/>
      <c r="B71" s="7"/>
      <c r="C71" s="8"/>
      <c r="D71" s="16"/>
      <c r="E71" s="16"/>
      <c r="F71" s="16"/>
      <c r="G71" s="16"/>
      <c r="H71" s="16"/>
      <c r="I71" s="8"/>
      <c r="J71" s="8"/>
      <c r="K71" s="8"/>
      <c r="L71" s="8"/>
      <c r="M71" s="8"/>
      <c r="N71" s="8"/>
      <c r="O71" s="8"/>
    </row>
    <row r="72" customFormat="false" ht="24.75" hidden="false" customHeight="true" outlineLevel="0" collapsed="false">
      <c r="A72" s="7"/>
      <c r="B72" s="7"/>
      <c r="C72" s="8"/>
      <c r="D72" s="16"/>
      <c r="E72" s="16"/>
      <c r="F72" s="16"/>
      <c r="G72" s="16"/>
      <c r="H72" s="16"/>
      <c r="I72" s="8"/>
      <c r="J72" s="8"/>
      <c r="K72" s="8"/>
      <c r="L72" s="8"/>
      <c r="M72" s="8"/>
      <c r="N72" s="8"/>
      <c r="O72" s="8"/>
    </row>
    <row r="73" customFormat="false" ht="24.75" hidden="false" customHeight="true" outlineLevel="0" collapsed="false">
      <c r="A73" s="7"/>
      <c r="B73" s="7"/>
      <c r="C73" s="8"/>
      <c r="D73" s="16"/>
      <c r="E73" s="16"/>
      <c r="F73" s="16"/>
      <c r="G73" s="16"/>
      <c r="H73" s="16"/>
      <c r="I73" s="8"/>
      <c r="J73" s="8"/>
      <c r="K73" s="8"/>
      <c r="L73" s="8"/>
      <c r="M73" s="8"/>
      <c r="N73" s="8"/>
      <c r="O73" s="8"/>
    </row>
    <row r="74" customFormat="false" ht="24.75" hidden="false" customHeight="true" outlineLevel="0" collapsed="false">
      <c r="A74" s="7"/>
      <c r="B74" s="7"/>
      <c r="C74" s="8"/>
      <c r="D74" s="16"/>
      <c r="E74" s="16"/>
      <c r="F74" s="16"/>
      <c r="G74" s="16"/>
      <c r="H74" s="16"/>
      <c r="I74" s="8"/>
      <c r="J74" s="8"/>
      <c r="K74" s="8"/>
      <c r="L74" s="8"/>
      <c r="M74" s="8"/>
      <c r="N74" s="8"/>
      <c r="O74" s="8"/>
    </row>
    <row r="75" customFormat="false" ht="24.75" hidden="false" customHeight="true" outlineLevel="0" collapsed="false">
      <c r="A75" s="7"/>
      <c r="B75" s="7"/>
      <c r="C75" s="8"/>
      <c r="D75" s="16"/>
      <c r="E75" s="16"/>
      <c r="F75" s="16"/>
      <c r="G75" s="16"/>
      <c r="H75" s="16"/>
      <c r="I75" s="8"/>
      <c r="J75" s="8"/>
      <c r="K75" s="8"/>
      <c r="L75" s="8"/>
      <c r="M75" s="8"/>
      <c r="N75" s="8"/>
      <c r="O75" s="8"/>
    </row>
    <row r="76" customFormat="false" ht="24.75" hidden="false" customHeight="true" outlineLevel="0" collapsed="false">
      <c r="A76" s="7"/>
      <c r="B76" s="7"/>
      <c r="C76" s="8"/>
      <c r="D76" s="16"/>
      <c r="E76" s="16"/>
      <c r="F76" s="16"/>
      <c r="G76" s="16"/>
      <c r="H76" s="16"/>
      <c r="I76" s="8"/>
      <c r="J76" s="8"/>
      <c r="K76" s="8"/>
      <c r="L76" s="8"/>
      <c r="M76" s="8"/>
      <c r="N76" s="8"/>
      <c r="O76" s="8"/>
    </row>
    <row r="77" customFormat="false" ht="24.75" hidden="false" customHeight="true" outlineLevel="0" collapsed="false">
      <c r="A77" s="7"/>
      <c r="B77" s="7"/>
      <c r="C77" s="8"/>
      <c r="D77" s="16"/>
      <c r="E77" s="16"/>
      <c r="F77" s="16"/>
      <c r="G77" s="16"/>
      <c r="H77" s="16"/>
      <c r="I77" s="8"/>
      <c r="J77" s="8"/>
      <c r="K77" s="8"/>
      <c r="L77" s="8"/>
      <c r="M77" s="8"/>
      <c r="N77" s="8"/>
      <c r="O77" s="8"/>
    </row>
    <row r="78" customFormat="false" ht="24.75" hidden="false" customHeight="true" outlineLevel="0" collapsed="false">
      <c r="A78" s="7"/>
      <c r="B78" s="7"/>
      <c r="C78" s="8"/>
      <c r="D78" s="16"/>
      <c r="E78" s="16"/>
      <c r="F78" s="16"/>
      <c r="G78" s="16"/>
      <c r="H78" s="16"/>
      <c r="I78" s="8"/>
      <c r="J78" s="8"/>
      <c r="K78" s="8"/>
      <c r="L78" s="8"/>
      <c r="M78" s="8"/>
      <c r="N78" s="8"/>
      <c r="O78" s="8"/>
    </row>
    <row r="79" customFormat="false" ht="24.75" hidden="false" customHeight="true" outlineLevel="0" collapsed="false">
      <c r="A79" s="7"/>
      <c r="B79" s="7"/>
      <c r="C79" s="8"/>
      <c r="D79" s="16"/>
      <c r="E79" s="16"/>
      <c r="F79" s="16"/>
      <c r="G79" s="16"/>
      <c r="H79" s="16"/>
      <c r="I79" s="8"/>
      <c r="J79" s="8"/>
      <c r="K79" s="8"/>
      <c r="L79" s="8"/>
      <c r="M79" s="8"/>
      <c r="N79" s="8"/>
      <c r="O79" s="8"/>
    </row>
    <row r="80" customFormat="false" ht="24.75" hidden="false" customHeight="true" outlineLevel="0" collapsed="false">
      <c r="A80" s="7"/>
      <c r="B80" s="7"/>
      <c r="C80" s="8"/>
      <c r="D80" s="16"/>
      <c r="E80" s="16"/>
      <c r="F80" s="16"/>
      <c r="G80" s="16"/>
      <c r="H80" s="16"/>
      <c r="I80" s="8"/>
      <c r="J80" s="8"/>
      <c r="K80" s="8"/>
      <c r="L80" s="8"/>
      <c r="M80" s="8"/>
      <c r="N80" s="8"/>
      <c r="O80" s="8"/>
    </row>
    <row r="81" customFormat="false" ht="24.75" hidden="false" customHeight="true" outlineLevel="0" collapsed="false">
      <c r="A81" s="7"/>
      <c r="B81" s="7"/>
      <c r="C81" s="8"/>
      <c r="D81" s="16"/>
      <c r="E81" s="16"/>
      <c r="F81" s="16"/>
      <c r="G81" s="16"/>
      <c r="H81" s="16"/>
      <c r="I81" s="8"/>
      <c r="J81" s="8"/>
      <c r="K81" s="8"/>
      <c r="L81" s="8"/>
      <c r="M81" s="8"/>
      <c r="N81" s="8"/>
      <c r="O81" s="8"/>
    </row>
    <row r="82" customFormat="false" ht="24.75" hidden="false" customHeight="true" outlineLevel="0" collapsed="false">
      <c r="A82" s="7"/>
      <c r="B82" s="7"/>
      <c r="C82" s="8"/>
      <c r="D82" s="16"/>
      <c r="E82" s="16"/>
      <c r="F82" s="16"/>
      <c r="G82" s="16"/>
      <c r="H82" s="16"/>
      <c r="I82" s="8"/>
      <c r="J82" s="8"/>
      <c r="K82" s="8"/>
      <c r="L82" s="8"/>
      <c r="M82" s="8"/>
      <c r="N82" s="8"/>
      <c r="O82" s="8"/>
    </row>
    <row r="83" customFormat="false" ht="24.75" hidden="false" customHeight="true" outlineLevel="0" collapsed="false">
      <c r="A83" s="7"/>
      <c r="B83" s="7"/>
      <c r="C83" s="8"/>
      <c r="D83" s="16"/>
      <c r="E83" s="16"/>
      <c r="F83" s="16"/>
      <c r="G83" s="16"/>
      <c r="H83" s="16"/>
      <c r="I83" s="8"/>
      <c r="J83" s="8"/>
      <c r="K83" s="8"/>
      <c r="L83" s="8"/>
      <c r="M83" s="8"/>
      <c r="N83" s="8"/>
      <c r="O83" s="8"/>
    </row>
    <row r="84" customFormat="false" ht="24.75" hidden="false" customHeight="true" outlineLevel="0" collapsed="false">
      <c r="A84" s="7"/>
      <c r="B84" s="7"/>
      <c r="C84" s="8"/>
      <c r="D84" s="16"/>
      <c r="E84" s="16"/>
      <c r="F84" s="16"/>
      <c r="G84" s="16"/>
      <c r="H84" s="16"/>
      <c r="I84" s="8"/>
      <c r="J84" s="8"/>
      <c r="K84" s="8"/>
      <c r="L84" s="8"/>
      <c r="M84" s="8"/>
      <c r="N84" s="8"/>
      <c r="O84" s="8"/>
    </row>
    <row r="85" customFormat="false" ht="24.75" hidden="false" customHeight="true" outlineLevel="0" collapsed="false">
      <c r="A85" s="7"/>
      <c r="B85" s="7"/>
      <c r="C85" s="8"/>
      <c r="D85" s="16"/>
      <c r="E85" s="16"/>
      <c r="F85" s="16"/>
      <c r="G85" s="16"/>
      <c r="H85" s="16"/>
      <c r="I85" s="8"/>
      <c r="J85" s="8"/>
      <c r="K85" s="8"/>
      <c r="L85" s="8"/>
      <c r="M85" s="8"/>
      <c r="N85" s="8"/>
      <c r="O85" s="8"/>
    </row>
    <row r="86" customFormat="false" ht="24.75" hidden="false" customHeight="true" outlineLevel="0" collapsed="false">
      <c r="A86" s="7"/>
      <c r="B86" s="7"/>
      <c r="C86" s="8"/>
      <c r="D86" s="16"/>
      <c r="E86" s="16"/>
      <c r="F86" s="16"/>
      <c r="G86" s="16"/>
      <c r="H86" s="16"/>
      <c r="I86" s="8"/>
      <c r="J86" s="8"/>
      <c r="K86" s="8"/>
      <c r="L86" s="8"/>
      <c r="M86" s="8"/>
      <c r="N86" s="8"/>
      <c r="O86" s="8"/>
    </row>
    <row r="87" customFormat="false" ht="24.75" hidden="false" customHeight="true" outlineLevel="0" collapsed="false">
      <c r="A87" s="7"/>
      <c r="B87" s="7"/>
      <c r="C87" s="8"/>
      <c r="D87" s="16"/>
      <c r="E87" s="16"/>
      <c r="F87" s="16"/>
      <c r="G87" s="16"/>
      <c r="H87" s="16"/>
      <c r="I87" s="8"/>
      <c r="J87" s="8"/>
      <c r="K87" s="8"/>
      <c r="L87" s="8"/>
      <c r="M87" s="8"/>
      <c r="N87" s="8"/>
      <c r="O87" s="8"/>
    </row>
    <row r="88" customFormat="false" ht="24.75" hidden="false" customHeight="true" outlineLevel="0" collapsed="false">
      <c r="A88" s="7"/>
      <c r="B88" s="7"/>
      <c r="C88" s="8"/>
      <c r="D88" s="16"/>
      <c r="E88" s="16"/>
      <c r="F88" s="16"/>
      <c r="G88" s="16"/>
      <c r="H88" s="16"/>
      <c r="I88" s="8"/>
      <c r="J88" s="8"/>
      <c r="K88" s="8"/>
      <c r="L88" s="8"/>
      <c r="M88" s="8"/>
      <c r="N88" s="8"/>
      <c r="O88" s="8"/>
    </row>
    <row r="89" customFormat="false" ht="24.75" hidden="false" customHeight="true" outlineLevel="0" collapsed="false">
      <c r="A89" s="7"/>
      <c r="B89" s="7"/>
      <c r="C89" s="8"/>
      <c r="D89" s="16"/>
      <c r="E89" s="16"/>
      <c r="F89" s="16"/>
      <c r="G89" s="16"/>
      <c r="H89" s="16"/>
      <c r="I89" s="8"/>
      <c r="J89" s="8"/>
      <c r="K89" s="8"/>
      <c r="L89" s="8"/>
      <c r="M89" s="8"/>
      <c r="N89" s="8"/>
      <c r="O89" s="8"/>
    </row>
    <row r="90" customFormat="false" ht="24.75" hidden="false" customHeight="true" outlineLevel="0" collapsed="false">
      <c r="A90" s="7"/>
      <c r="B90" s="7"/>
      <c r="C90" s="8"/>
      <c r="D90" s="16"/>
      <c r="E90" s="16"/>
      <c r="F90" s="16"/>
      <c r="G90" s="16"/>
      <c r="H90" s="16"/>
      <c r="I90" s="8"/>
      <c r="J90" s="8"/>
      <c r="K90" s="8"/>
      <c r="L90" s="8"/>
      <c r="M90" s="8"/>
      <c r="N90" s="8"/>
      <c r="O90" s="8"/>
    </row>
    <row r="91" customFormat="false" ht="24.75" hidden="false" customHeight="true" outlineLevel="0" collapsed="false">
      <c r="A91" s="7"/>
      <c r="B91" s="7"/>
      <c r="C91" s="8"/>
      <c r="D91" s="16"/>
      <c r="E91" s="16"/>
      <c r="F91" s="16"/>
      <c r="G91" s="16"/>
      <c r="H91" s="16"/>
      <c r="I91" s="8"/>
      <c r="J91" s="8"/>
      <c r="K91" s="8"/>
      <c r="L91" s="8"/>
      <c r="M91" s="8"/>
      <c r="N91" s="8"/>
      <c r="O91" s="8"/>
    </row>
    <row r="92" customFormat="false" ht="24.75" hidden="false" customHeight="true" outlineLevel="0" collapsed="false">
      <c r="A92" s="7"/>
      <c r="B92" s="7"/>
      <c r="C92" s="8"/>
      <c r="D92" s="16"/>
      <c r="E92" s="16"/>
      <c r="F92" s="16"/>
      <c r="G92" s="16"/>
      <c r="H92" s="16"/>
      <c r="I92" s="8"/>
      <c r="J92" s="8"/>
      <c r="K92" s="8"/>
      <c r="L92" s="8"/>
      <c r="M92" s="8"/>
      <c r="N92" s="8"/>
      <c r="O92" s="8"/>
    </row>
    <row r="93" customFormat="false" ht="24.75" hidden="false" customHeight="true" outlineLevel="0" collapsed="false">
      <c r="A93" s="7"/>
      <c r="B93" s="7"/>
      <c r="C93" s="8"/>
      <c r="D93" s="16"/>
      <c r="E93" s="16"/>
      <c r="F93" s="16"/>
      <c r="G93" s="16"/>
      <c r="H93" s="16"/>
      <c r="I93" s="8"/>
      <c r="J93" s="8"/>
      <c r="K93" s="8"/>
      <c r="L93" s="8"/>
      <c r="M93" s="8"/>
      <c r="N93" s="8"/>
      <c r="O93" s="8"/>
    </row>
    <row r="94" customFormat="false" ht="24.75" hidden="false" customHeight="true" outlineLevel="0" collapsed="false">
      <c r="A94" s="7"/>
      <c r="B94" s="7"/>
      <c r="C94" s="8"/>
      <c r="D94" s="16"/>
      <c r="E94" s="16"/>
      <c r="F94" s="16"/>
      <c r="G94" s="16"/>
      <c r="H94" s="16"/>
      <c r="I94" s="8"/>
      <c r="J94" s="8"/>
      <c r="K94" s="8"/>
      <c r="L94" s="8"/>
      <c r="M94" s="8"/>
      <c r="N94" s="8"/>
      <c r="O94" s="8"/>
    </row>
    <row r="95" customFormat="false" ht="24.75" hidden="false" customHeight="true" outlineLevel="0" collapsed="false">
      <c r="A95" s="7"/>
      <c r="B95" s="7"/>
      <c r="C95" s="8"/>
      <c r="D95" s="16"/>
      <c r="E95" s="16"/>
      <c r="F95" s="16"/>
      <c r="G95" s="16"/>
      <c r="H95" s="16"/>
      <c r="I95" s="8"/>
      <c r="J95" s="8"/>
      <c r="K95" s="8"/>
      <c r="L95" s="8"/>
      <c r="M95" s="8"/>
      <c r="N95" s="8"/>
      <c r="O95" s="8"/>
    </row>
    <row r="96" customFormat="false" ht="24.75" hidden="false" customHeight="true" outlineLevel="0" collapsed="false">
      <c r="A96" s="7"/>
      <c r="B96" s="7"/>
      <c r="C96" s="8"/>
      <c r="D96" s="16"/>
      <c r="E96" s="16"/>
      <c r="F96" s="16"/>
      <c r="G96" s="16"/>
      <c r="H96" s="16"/>
      <c r="I96" s="8"/>
      <c r="J96" s="8"/>
      <c r="K96" s="8"/>
      <c r="L96" s="8"/>
      <c r="M96" s="8"/>
      <c r="N96" s="8"/>
      <c r="O96" s="8"/>
    </row>
    <row r="97" customFormat="false" ht="24.75" hidden="false" customHeight="true" outlineLevel="0" collapsed="false">
      <c r="A97" s="7"/>
      <c r="B97" s="7"/>
      <c r="C97" s="8"/>
      <c r="D97" s="16"/>
      <c r="E97" s="16"/>
      <c r="F97" s="16"/>
      <c r="G97" s="16"/>
      <c r="H97" s="16"/>
      <c r="I97" s="8"/>
      <c r="J97" s="8"/>
      <c r="K97" s="8"/>
      <c r="L97" s="8"/>
      <c r="M97" s="8"/>
      <c r="N97" s="8"/>
      <c r="O97" s="8"/>
    </row>
    <row r="98" customFormat="false" ht="24.75" hidden="false" customHeight="true" outlineLevel="0" collapsed="false">
      <c r="A98" s="7"/>
      <c r="B98" s="7"/>
      <c r="C98" s="8"/>
      <c r="D98" s="16"/>
      <c r="E98" s="16"/>
      <c r="F98" s="16"/>
      <c r="G98" s="16"/>
      <c r="H98" s="16"/>
      <c r="I98" s="8"/>
      <c r="J98" s="8"/>
      <c r="K98" s="8"/>
      <c r="L98" s="8"/>
      <c r="M98" s="8"/>
      <c r="N98" s="8"/>
      <c r="O98" s="8"/>
    </row>
    <row r="99" customFormat="false" ht="24.75" hidden="false" customHeight="true" outlineLevel="0" collapsed="false">
      <c r="A99" s="7"/>
      <c r="B99" s="7"/>
      <c r="C99" s="8"/>
      <c r="D99" s="16"/>
      <c r="E99" s="16"/>
      <c r="F99" s="16"/>
      <c r="G99" s="16"/>
      <c r="H99" s="16"/>
      <c r="I99" s="8"/>
      <c r="J99" s="8"/>
      <c r="K99" s="8"/>
      <c r="L99" s="8"/>
      <c r="M99" s="8"/>
      <c r="N99" s="8"/>
      <c r="O99" s="8"/>
    </row>
    <row r="100" customFormat="false" ht="24.75" hidden="false" customHeight="true" outlineLevel="0" collapsed="false">
      <c r="A100" s="7"/>
      <c r="B100" s="7"/>
      <c r="C100" s="8"/>
      <c r="D100" s="16"/>
      <c r="E100" s="16"/>
      <c r="F100" s="16"/>
      <c r="G100" s="16"/>
      <c r="H100" s="16"/>
      <c r="I100" s="8"/>
      <c r="J100" s="8"/>
      <c r="K100" s="8"/>
      <c r="L100" s="8"/>
      <c r="M100" s="8"/>
      <c r="N100" s="8"/>
      <c r="O100" s="8"/>
    </row>
    <row r="101" customFormat="false" ht="24.75" hidden="false" customHeight="true" outlineLevel="0" collapsed="false">
      <c r="A101" s="7"/>
      <c r="B101" s="7"/>
      <c r="C101" s="8"/>
      <c r="D101" s="16"/>
      <c r="E101" s="16"/>
      <c r="F101" s="16"/>
      <c r="G101" s="16"/>
      <c r="H101" s="16"/>
      <c r="I101" s="8"/>
      <c r="J101" s="8"/>
      <c r="K101" s="8"/>
      <c r="L101" s="8"/>
      <c r="M101" s="8"/>
      <c r="N101" s="8"/>
      <c r="O101" s="8"/>
    </row>
    <row r="102" customFormat="false" ht="24.75" hidden="false" customHeight="true" outlineLevel="0" collapsed="false">
      <c r="A102" s="7"/>
      <c r="B102" s="7"/>
      <c r="C102" s="8"/>
      <c r="D102" s="16"/>
      <c r="E102" s="16"/>
      <c r="F102" s="16"/>
      <c r="G102" s="16"/>
      <c r="H102" s="16"/>
      <c r="I102" s="8"/>
      <c r="J102" s="8"/>
      <c r="K102" s="8"/>
      <c r="L102" s="8"/>
      <c r="M102" s="8"/>
      <c r="N102" s="8"/>
      <c r="O102" s="8"/>
    </row>
    <row r="103" customFormat="false" ht="24.75" hidden="false" customHeight="true" outlineLevel="0" collapsed="false">
      <c r="A103" s="7"/>
      <c r="B103" s="7"/>
      <c r="C103" s="8"/>
      <c r="D103" s="16"/>
      <c r="E103" s="16"/>
      <c r="F103" s="16"/>
      <c r="G103" s="16"/>
      <c r="H103" s="16"/>
      <c r="I103" s="8"/>
      <c r="J103" s="8"/>
      <c r="K103" s="8"/>
      <c r="L103" s="8"/>
      <c r="M103" s="8"/>
      <c r="N103" s="8"/>
      <c r="O103" s="8"/>
    </row>
    <row r="104" customFormat="false" ht="24.75" hidden="false" customHeight="true" outlineLevel="0" collapsed="false">
      <c r="A104" s="7"/>
      <c r="B104" s="7"/>
      <c r="C104" s="8"/>
      <c r="D104" s="16"/>
      <c r="E104" s="16"/>
      <c r="F104" s="16"/>
      <c r="G104" s="16"/>
      <c r="H104" s="16"/>
      <c r="I104" s="8"/>
      <c r="J104" s="8"/>
      <c r="K104" s="8"/>
      <c r="L104" s="8"/>
      <c r="M104" s="8"/>
      <c r="N104" s="8"/>
      <c r="O104" s="8"/>
    </row>
    <row r="105" customFormat="false" ht="24.75" hidden="false" customHeight="true" outlineLevel="0" collapsed="false">
      <c r="A105" s="7"/>
      <c r="B105" s="7"/>
      <c r="C105" s="8"/>
      <c r="D105" s="16"/>
      <c r="E105" s="16"/>
      <c r="F105" s="16"/>
      <c r="G105" s="16"/>
      <c r="H105" s="16"/>
      <c r="I105" s="8"/>
      <c r="J105" s="8"/>
      <c r="K105" s="8"/>
      <c r="L105" s="8"/>
      <c r="M105" s="8"/>
      <c r="N105" s="8"/>
      <c r="O105" s="8"/>
    </row>
    <row r="106" customFormat="false" ht="24.75" hidden="false" customHeight="true" outlineLevel="0" collapsed="false">
      <c r="A106" s="7"/>
      <c r="B106" s="7"/>
      <c r="C106" s="8"/>
      <c r="D106" s="16"/>
      <c r="E106" s="16"/>
      <c r="F106" s="16"/>
      <c r="G106" s="16"/>
      <c r="H106" s="16"/>
      <c r="I106" s="8"/>
      <c r="J106" s="8"/>
      <c r="K106" s="8"/>
      <c r="L106" s="8"/>
      <c r="M106" s="8"/>
      <c r="N106" s="8"/>
      <c r="O106" s="8"/>
    </row>
    <row r="107" customFormat="false" ht="24.75" hidden="false" customHeight="true" outlineLevel="0" collapsed="false">
      <c r="A107" s="7"/>
      <c r="B107" s="7"/>
      <c r="C107" s="8"/>
      <c r="D107" s="16"/>
      <c r="E107" s="16"/>
      <c r="F107" s="16"/>
      <c r="G107" s="16"/>
      <c r="H107" s="16"/>
      <c r="I107" s="8"/>
      <c r="J107" s="8"/>
      <c r="K107" s="8"/>
      <c r="L107" s="8"/>
      <c r="M107" s="8"/>
      <c r="N107" s="8"/>
      <c r="O107" s="8"/>
    </row>
    <row r="108" customFormat="false" ht="24.75" hidden="false" customHeight="true" outlineLevel="0" collapsed="false">
      <c r="A108" s="7"/>
      <c r="B108" s="7"/>
      <c r="C108" s="8"/>
      <c r="D108" s="16"/>
      <c r="E108" s="16"/>
      <c r="F108" s="16"/>
      <c r="G108" s="16"/>
      <c r="H108" s="16"/>
      <c r="I108" s="8"/>
      <c r="J108" s="8"/>
      <c r="K108" s="8"/>
      <c r="L108" s="8"/>
      <c r="M108" s="8"/>
      <c r="N108" s="8"/>
      <c r="O108" s="8"/>
    </row>
    <row r="109" customFormat="false" ht="24.75" hidden="false" customHeight="true" outlineLevel="0" collapsed="false">
      <c r="A109" s="7"/>
      <c r="B109" s="7"/>
      <c r="C109" s="8"/>
      <c r="D109" s="16"/>
      <c r="E109" s="16"/>
      <c r="F109" s="16"/>
      <c r="G109" s="16"/>
      <c r="H109" s="16"/>
      <c r="I109" s="8"/>
      <c r="J109" s="8"/>
      <c r="K109" s="8"/>
      <c r="L109" s="8"/>
      <c r="M109" s="8"/>
      <c r="N109" s="8"/>
      <c r="O109" s="8"/>
    </row>
    <row r="110" customFormat="false" ht="24.75" hidden="false" customHeight="true" outlineLevel="0" collapsed="false">
      <c r="A110" s="7"/>
      <c r="B110" s="7"/>
      <c r="C110" s="8"/>
      <c r="D110" s="16"/>
      <c r="E110" s="16"/>
      <c r="F110" s="16"/>
      <c r="G110" s="16"/>
      <c r="H110" s="16"/>
      <c r="I110" s="8"/>
      <c r="J110" s="8"/>
      <c r="K110" s="8"/>
      <c r="L110" s="8"/>
      <c r="M110" s="8"/>
      <c r="N110" s="8"/>
      <c r="O110" s="8"/>
    </row>
    <row r="111" customFormat="false" ht="24.75" hidden="false" customHeight="true" outlineLevel="0" collapsed="false">
      <c r="A111" s="7"/>
      <c r="B111" s="7"/>
      <c r="C111" s="8"/>
      <c r="D111" s="16"/>
      <c r="E111" s="16"/>
      <c r="F111" s="16"/>
      <c r="G111" s="16"/>
      <c r="H111" s="16"/>
      <c r="I111" s="8"/>
      <c r="J111" s="8"/>
      <c r="K111" s="8"/>
      <c r="L111" s="8"/>
      <c r="M111" s="8"/>
      <c r="N111" s="8"/>
      <c r="O111" s="8"/>
    </row>
    <row r="112" customFormat="false" ht="24.75" hidden="false" customHeight="true" outlineLevel="0" collapsed="false">
      <c r="A112" s="7"/>
      <c r="B112" s="7"/>
      <c r="C112" s="8"/>
      <c r="D112" s="16"/>
      <c r="E112" s="16"/>
      <c r="F112" s="16"/>
      <c r="G112" s="16"/>
      <c r="H112" s="16"/>
      <c r="I112" s="8"/>
      <c r="J112" s="8"/>
      <c r="K112" s="8"/>
      <c r="L112" s="8"/>
      <c r="M112" s="8"/>
      <c r="N112" s="8"/>
      <c r="O112" s="8"/>
    </row>
    <row r="113" customFormat="false" ht="24.75" hidden="false" customHeight="true" outlineLevel="0" collapsed="false">
      <c r="A113" s="7"/>
      <c r="B113" s="7"/>
      <c r="C113" s="8"/>
      <c r="D113" s="16"/>
      <c r="E113" s="16"/>
      <c r="F113" s="16"/>
      <c r="G113" s="16"/>
      <c r="H113" s="16"/>
      <c r="I113" s="8"/>
      <c r="J113" s="8"/>
      <c r="K113" s="8"/>
      <c r="L113" s="8"/>
      <c r="M113" s="8"/>
      <c r="N113" s="8"/>
      <c r="O113" s="8"/>
    </row>
    <row r="114" customFormat="false" ht="24.75" hidden="false" customHeight="true" outlineLevel="0" collapsed="false">
      <c r="A114" s="7"/>
      <c r="B114" s="7"/>
      <c r="C114" s="8"/>
      <c r="D114" s="16"/>
      <c r="E114" s="16"/>
      <c r="F114" s="16"/>
      <c r="G114" s="16"/>
      <c r="H114" s="16"/>
      <c r="I114" s="8"/>
      <c r="J114" s="8"/>
      <c r="K114" s="8"/>
      <c r="L114" s="8"/>
      <c r="M114" s="8"/>
      <c r="N114" s="8"/>
      <c r="O114" s="8"/>
    </row>
    <row r="115" customFormat="false" ht="24.75" hidden="false" customHeight="true" outlineLevel="0" collapsed="false">
      <c r="A115" s="7"/>
      <c r="B115" s="7"/>
      <c r="C115" s="8"/>
      <c r="D115" s="16"/>
      <c r="E115" s="16"/>
      <c r="F115" s="16"/>
      <c r="G115" s="16"/>
      <c r="H115" s="16"/>
      <c r="I115" s="8"/>
      <c r="J115" s="8"/>
      <c r="K115" s="8"/>
      <c r="L115" s="8"/>
      <c r="M115" s="8"/>
      <c r="N115" s="8"/>
      <c r="O115" s="8"/>
    </row>
  </sheetData>
  <mergeCells count="6">
    <mergeCell ref="C2:H2"/>
    <mergeCell ref="C41:H41"/>
    <mergeCell ref="C42:H42"/>
    <mergeCell ref="C43:H43"/>
    <mergeCell ref="C44:H44"/>
    <mergeCell ref="C45:H4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1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1" width="3"/>
    <col collapsed="false" customWidth="true" hidden="false" outlineLevel="0" max="3" min="3" style="1" width="45"/>
    <col collapsed="false" customWidth="true" hidden="false" outlineLevel="0" max="8" min="4" style="1" width="18"/>
    <col collapsed="false" customWidth="true" hidden="false" outlineLevel="0" max="9" min="9" style="1" width="4"/>
    <col collapsed="false" customWidth="true" hidden="false" outlineLevel="0" max="15" min="10" style="1" width="15"/>
  </cols>
  <sheetData>
    <row r="1" customFormat="false" ht="15" hidden="false" customHeight="false" outlineLevel="0" collapsed="false">
      <c r="A1" s="7"/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customFormat="false" ht="36.75" hidden="false" customHeight="true" outlineLevel="0" collapsed="false">
      <c r="A2" s="7"/>
      <c r="B2" s="7"/>
      <c r="C2" s="9" t="s">
        <v>394</v>
      </c>
      <c r="D2" s="9"/>
      <c r="E2" s="9"/>
      <c r="F2" s="9"/>
      <c r="G2" s="9"/>
      <c r="H2" s="9"/>
      <c r="I2" s="8"/>
      <c r="J2" s="8"/>
      <c r="K2" s="8"/>
      <c r="L2" s="8"/>
      <c r="M2" s="8"/>
      <c r="N2" s="8"/>
      <c r="O2" s="8"/>
    </row>
    <row r="3" customFormat="false" ht="15" hidden="false" customHeight="false" outlineLevel="0" collapsed="false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customFormat="false" ht="24.75" hidden="false" customHeight="true" outlineLevel="0" collapsed="false">
      <c r="A4" s="7"/>
      <c r="B4" s="7"/>
      <c r="C4" s="8"/>
      <c r="D4" s="8"/>
      <c r="E4" s="8"/>
      <c r="F4" s="8"/>
      <c r="G4" s="8"/>
      <c r="H4" s="8"/>
      <c r="I4" s="8"/>
      <c r="J4" s="10" t="s">
        <v>39</v>
      </c>
      <c r="K4" s="11" t="str">
        <f aca="false">CHOOSE(Terms!D4,"متحفظ","أساسي","نمو")</f>
        <v>أساسي</v>
      </c>
      <c r="L4" s="8"/>
      <c r="M4" s="8"/>
      <c r="N4" s="8"/>
      <c r="O4" s="8"/>
    </row>
    <row r="5" customFormat="false" ht="30" hidden="false" customHeight="true" outlineLevel="0" collapsed="false">
      <c r="A5" s="7"/>
      <c r="B5" s="7"/>
      <c r="C5" s="12" t="s">
        <v>354</v>
      </c>
      <c r="D5" s="13" t="s">
        <v>372</v>
      </c>
      <c r="E5" s="13" t="s">
        <v>373</v>
      </c>
      <c r="F5" s="13" t="s">
        <v>374</v>
      </c>
      <c r="G5" s="16"/>
      <c r="H5" s="16"/>
      <c r="I5" s="8"/>
      <c r="J5" s="8"/>
      <c r="K5" s="8"/>
      <c r="L5" s="8"/>
      <c r="M5" s="8"/>
      <c r="N5" s="8"/>
      <c r="O5" s="8"/>
    </row>
    <row r="6" customFormat="false" ht="24.75" hidden="false" customHeight="true" outlineLevel="0" collapsed="false">
      <c r="A6" s="7"/>
      <c r="B6" s="7"/>
      <c r="C6" s="10" t="s">
        <v>395</v>
      </c>
      <c r="D6" s="66" t="n">
        <f aca="false">'App Inputs'!E6*Terms!$D$6*'App Inputs'!$H$6*'App Inputs'!$I$6</f>
        <v>216000</v>
      </c>
      <c r="E6" s="66" t="n">
        <f aca="false">'App Inputs'!F6*Terms!$D$6*'App Inputs'!$H$6*'App Inputs'!$I$6</f>
        <v>432000</v>
      </c>
      <c r="F6" s="66" t="n">
        <f aca="false">'App Inputs'!G6*Terms!$D$6*'App Inputs'!$H$6*'App Inputs'!$I$6</f>
        <v>756000</v>
      </c>
      <c r="G6" s="16"/>
      <c r="H6" s="16"/>
      <c r="I6" s="8"/>
      <c r="J6" s="8"/>
      <c r="K6" s="8"/>
      <c r="L6" s="8"/>
      <c r="M6" s="8"/>
      <c r="N6" s="8"/>
      <c r="O6" s="8"/>
    </row>
    <row r="7" customFormat="false" ht="24.75" hidden="false" customHeight="true" outlineLevel="0" collapsed="false">
      <c r="A7" s="7"/>
      <c r="B7" s="7"/>
      <c r="C7" s="10" t="s">
        <v>396</v>
      </c>
      <c r="D7" s="66" t="n">
        <f aca="false">'App Inputs'!E7*Terms!$D$6*'App Inputs'!$H$7*'App Inputs'!$I$7</f>
        <v>1080000</v>
      </c>
      <c r="E7" s="66" t="n">
        <f aca="false">'App Inputs'!F7*Terms!$D$6*'App Inputs'!$H$7*'App Inputs'!$I$7</f>
        <v>1800000</v>
      </c>
      <c r="F7" s="66" t="n">
        <f aca="false">'App Inputs'!G7*Terms!$D$6*'App Inputs'!$H$7*'App Inputs'!$I$7</f>
        <v>2880000</v>
      </c>
      <c r="G7" s="16"/>
      <c r="H7" s="16"/>
      <c r="I7" s="8"/>
      <c r="J7" s="8"/>
      <c r="K7" s="8"/>
      <c r="L7" s="8"/>
      <c r="M7" s="8"/>
      <c r="N7" s="8"/>
      <c r="O7" s="8"/>
    </row>
    <row r="8" customFormat="false" ht="24.75" hidden="false" customHeight="true" outlineLevel="0" collapsed="false">
      <c r="A8" s="7"/>
      <c r="B8" s="7"/>
      <c r="C8" s="10" t="s">
        <v>397</v>
      </c>
      <c r="D8" s="66" t="n">
        <f aca="false">'App Inputs'!E8*Terms!$D$6*'App Inputs'!$H$8*'App Inputs'!$I$8</f>
        <v>180000</v>
      </c>
      <c r="E8" s="66" t="n">
        <f aca="false">'App Inputs'!F8*Terms!$D$6*'App Inputs'!$H$8*'App Inputs'!$I$8</f>
        <v>360000</v>
      </c>
      <c r="F8" s="66" t="n">
        <f aca="false">'App Inputs'!G8*Terms!$D$6*'App Inputs'!$H$8*'App Inputs'!$I$8</f>
        <v>540000</v>
      </c>
      <c r="G8" s="16"/>
      <c r="H8" s="16"/>
      <c r="I8" s="8"/>
      <c r="J8" s="8"/>
      <c r="K8" s="8"/>
      <c r="L8" s="8"/>
      <c r="M8" s="8"/>
      <c r="N8" s="8"/>
      <c r="O8" s="8"/>
    </row>
    <row r="9" customFormat="false" ht="24.75" hidden="false" customHeight="true" outlineLevel="0" collapsed="false">
      <c r="A9" s="7"/>
      <c r="B9" s="7"/>
      <c r="C9" s="10" t="s">
        <v>398</v>
      </c>
      <c r="D9" s="66" t="n">
        <f aca="false">'App Inputs'!E9*Terms!$D$6*'App Inputs'!$H$9*'App Inputs'!$I$9</f>
        <v>360000</v>
      </c>
      <c r="E9" s="66" t="n">
        <f aca="false">'App Inputs'!F9*Terms!$D$6*'App Inputs'!$H$9*'App Inputs'!$I$9</f>
        <v>720000</v>
      </c>
      <c r="F9" s="66" t="n">
        <f aca="false">'App Inputs'!G9*Terms!$D$6*'App Inputs'!$H$9*'App Inputs'!$I$9</f>
        <v>1260000</v>
      </c>
      <c r="G9" s="16"/>
      <c r="H9" s="16"/>
      <c r="I9" s="8"/>
      <c r="J9" s="8"/>
      <c r="K9" s="8"/>
      <c r="L9" s="8"/>
      <c r="M9" s="8"/>
      <c r="N9" s="8"/>
      <c r="O9" s="8"/>
    </row>
    <row r="10" customFormat="false" ht="24.75" hidden="false" customHeight="true" outlineLevel="0" collapsed="false">
      <c r="A10" s="7"/>
      <c r="B10" s="7"/>
      <c r="C10" s="10" t="s">
        <v>399</v>
      </c>
      <c r="D10" s="66" t="n">
        <f aca="false">'App Inputs'!E10*Terms!$D$6*'App Inputs'!$H$10*'App Inputs'!$I$10</f>
        <v>720000</v>
      </c>
      <c r="E10" s="66" t="n">
        <f aca="false">'App Inputs'!F10*Terms!$D$6*'App Inputs'!$H$10*'App Inputs'!$I$10</f>
        <v>1080000</v>
      </c>
      <c r="F10" s="66" t="n">
        <f aca="false">'App Inputs'!G10*Terms!$D$6*'App Inputs'!$H$10*'App Inputs'!$I$10</f>
        <v>1440000</v>
      </c>
      <c r="G10" s="16"/>
      <c r="H10" s="16"/>
      <c r="I10" s="8"/>
      <c r="J10" s="8"/>
      <c r="K10" s="8"/>
      <c r="L10" s="8"/>
      <c r="M10" s="8"/>
      <c r="N10" s="8"/>
      <c r="O10" s="8"/>
    </row>
    <row r="11" customFormat="false" ht="24.75" hidden="false" customHeight="true" outlineLevel="0" collapsed="false">
      <c r="A11" s="7"/>
      <c r="B11" s="7"/>
      <c r="C11" s="10" t="s">
        <v>400</v>
      </c>
      <c r="D11" s="66" t="n">
        <f aca="false">'App Inputs'!E11*Terms!$D$6*'App Inputs'!$H$11*'App Inputs'!$I$11</f>
        <v>400000</v>
      </c>
      <c r="E11" s="66" t="n">
        <f aca="false">'App Inputs'!F11*Terms!$D$6*'App Inputs'!$H$11*'App Inputs'!$I$11</f>
        <v>800000</v>
      </c>
      <c r="F11" s="66" t="n">
        <f aca="false">'App Inputs'!G11*Terms!$D$6*'App Inputs'!$H$11*'App Inputs'!$I$11</f>
        <v>1200000</v>
      </c>
      <c r="G11" s="16"/>
      <c r="H11" s="16"/>
      <c r="I11" s="8"/>
      <c r="J11" s="8"/>
      <c r="K11" s="8"/>
      <c r="L11" s="8"/>
      <c r="M11" s="8"/>
      <c r="N11" s="8"/>
      <c r="O11" s="8"/>
    </row>
    <row r="12" customFormat="false" ht="24.75" hidden="false" customHeight="true" outlineLevel="0" collapsed="false">
      <c r="A12" s="7"/>
      <c r="B12" s="7"/>
      <c r="C12" s="10" t="s">
        <v>401</v>
      </c>
      <c r="D12" s="66" t="n">
        <f aca="false">'App Inputs'!E12*Terms!$D$6*'App Inputs'!$H$12*'App Inputs'!$I$12</f>
        <v>600000</v>
      </c>
      <c r="E12" s="66" t="n">
        <f aca="false">'App Inputs'!F12*Terms!$D$6*'App Inputs'!$H$12*'App Inputs'!$I$12</f>
        <v>1200000</v>
      </c>
      <c r="F12" s="66" t="n">
        <f aca="false">'App Inputs'!G12*Terms!$D$6*'App Inputs'!$H$12*'App Inputs'!$I$12</f>
        <v>2100000</v>
      </c>
      <c r="G12" s="16"/>
      <c r="H12" s="16"/>
      <c r="I12" s="8"/>
      <c r="J12" s="8"/>
      <c r="K12" s="8"/>
      <c r="L12" s="8"/>
      <c r="M12" s="8"/>
      <c r="N12" s="8"/>
      <c r="O12" s="8"/>
    </row>
    <row r="13" customFormat="false" ht="24.75" hidden="false" customHeight="true" outlineLevel="0" collapsed="false">
      <c r="A13" s="7"/>
      <c r="B13" s="7"/>
      <c r="C13" s="10" t="s">
        <v>402</v>
      </c>
      <c r="D13" s="66" t="n">
        <f aca="false">'App Inputs'!E13*Terms!$D$6*'App Inputs'!$H$13*'App Inputs'!$I$13</f>
        <v>1200000</v>
      </c>
      <c r="E13" s="66" t="n">
        <f aca="false">'App Inputs'!F13*Terms!$D$6*'App Inputs'!$H$13*'App Inputs'!$I$13</f>
        <v>1800000</v>
      </c>
      <c r="F13" s="66" t="n">
        <f aca="false">'App Inputs'!G13*Terms!$D$6*'App Inputs'!$H$13*'App Inputs'!$I$13</f>
        <v>2400000</v>
      </c>
      <c r="G13" s="16"/>
      <c r="H13" s="16"/>
      <c r="I13" s="8"/>
      <c r="J13" s="8"/>
      <c r="K13" s="8"/>
      <c r="L13" s="8"/>
      <c r="M13" s="8"/>
      <c r="N13" s="8"/>
      <c r="O13" s="8"/>
    </row>
    <row r="14" customFormat="false" ht="24.75" hidden="false" customHeight="true" outlineLevel="0" collapsed="false">
      <c r="A14" s="7"/>
      <c r="B14" s="7"/>
      <c r="C14" s="10" t="s">
        <v>403</v>
      </c>
      <c r="D14" s="66" t="n">
        <f aca="false">'App Inputs'!E14*Terms!$D$6*'App Inputs'!$H$14*'App Inputs'!$I$14</f>
        <v>1080000</v>
      </c>
      <c r="E14" s="66" t="n">
        <f aca="false">'App Inputs'!F14*Terms!$D$6*'App Inputs'!$H$14*'App Inputs'!$I$14</f>
        <v>1440000</v>
      </c>
      <c r="F14" s="66" t="n">
        <f aca="false">'App Inputs'!G14*Terms!$D$6*'App Inputs'!$H$14*'App Inputs'!$I$14</f>
        <v>1800000</v>
      </c>
      <c r="G14" s="16"/>
      <c r="H14" s="16"/>
      <c r="I14" s="8"/>
      <c r="J14" s="8"/>
      <c r="K14" s="8"/>
      <c r="L14" s="8"/>
      <c r="M14" s="8"/>
      <c r="N14" s="8"/>
      <c r="O14" s="8"/>
    </row>
    <row r="15" customFormat="false" ht="24.75" hidden="false" customHeight="true" outlineLevel="0" collapsed="false">
      <c r="A15" s="7"/>
      <c r="B15" s="7"/>
      <c r="C15" s="10" t="s">
        <v>404</v>
      </c>
      <c r="D15" s="66" t="n">
        <f aca="false">'App Inputs'!E15*Terms!$D$6*'App Inputs'!$H$15*'App Inputs'!$I$15</f>
        <v>1500000</v>
      </c>
      <c r="E15" s="66" t="n">
        <f aca="false">'App Inputs'!F15*Terms!$D$6*'App Inputs'!$H$15*'App Inputs'!$I$15</f>
        <v>2500000</v>
      </c>
      <c r="F15" s="66" t="n">
        <f aca="false">'App Inputs'!G15*Terms!$D$6*'App Inputs'!$H$15*'App Inputs'!$I$15</f>
        <v>3500000</v>
      </c>
      <c r="G15" s="16"/>
      <c r="H15" s="16"/>
      <c r="I15" s="8"/>
      <c r="J15" s="8"/>
      <c r="K15" s="8"/>
      <c r="L15" s="8"/>
      <c r="M15" s="8"/>
      <c r="N15" s="8"/>
      <c r="O15" s="8"/>
    </row>
    <row r="16" customFormat="false" ht="24.75" hidden="false" customHeight="true" outlineLevel="0" collapsed="false">
      <c r="A16" s="7"/>
      <c r="B16" s="7"/>
      <c r="C16" s="10" t="s">
        <v>405</v>
      </c>
      <c r="D16" s="66" t="n">
        <f aca="false">'App Inputs'!E16*Terms!$D$6*'App Inputs'!$H$16*'App Inputs'!$I$16</f>
        <v>720000</v>
      </c>
      <c r="E16" s="66" t="n">
        <f aca="false">'App Inputs'!F16*Terms!$D$6*'App Inputs'!$H$16*'App Inputs'!$I$16</f>
        <v>1200000</v>
      </c>
      <c r="F16" s="66" t="n">
        <f aca="false">'App Inputs'!G16*Terms!$D$6*'App Inputs'!$H$16*'App Inputs'!$I$16</f>
        <v>1680000</v>
      </c>
      <c r="G16" s="16"/>
      <c r="H16" s="16"/>
      <c r="I16" s="8"/>
      <c r="J16" s="8"/>
      <c r="K16" s="8"/>
      <c r="L16" s="8"/>
      <c r="M16" s="8"/>
      <c r="N16" s="8"/>
      <c r="O16" s="8"/>
    </row>
    <row r="17" customFormat="false" ht="24.75" hidden="false" customHeight="true" outlineLevel="0" collapsed="false">
      <c r="A17" s="7"/>
      <c r="B17" s="7"/>
      <c r="C17" s="8"/>
      <c r="D17" s="16"/>
      <c r="E17" s="16"/>
      <c r="F17" s="16"/>
      <c r="G17" s="16"/>
      <c r="H17" s="16"/>
      <c r="I17" s="8"/>
      <c r="J17" s="8"/>
      <c r="K17" s="8"/>
      <c r="L17" s="8"/>
      <c r="M17" s="8"/>
      <c r="N17" s="8"/>
      <c r="O17" s="8"/>
    </row>
    <row r="18" customFormat="false" ht="24.75" hidden="false" customHeight="true" outlineLevel="0" collapsed="false">
      <c r="A18" s="7"/>
      <c r="B18" s="7"/>
      <c r="C18" s="8"/>
      <c r="D18" s="16"/>
      <c r="E18" s="16"/>
      <c r="F18" s="16"/>
      <c r="G18" s="16"/>
      <c r="H18" s="16"/>
      <c r="I18" s="8"/>
      <c r="J18" s="8"/>
      <c r="K18" s="8"/>
      <c r="L18" s="8"/>
      <c r="M18" s="8"/>
      <c r="N18" s="8"/>
      <c r="O18" s="8"/>
    </row>
    <row r="19" customFormat="false" ht="24.75" hidden="false" customHeight="true" outlineLevel="0" collapsed="false">
      <c r="A19" s="7"/>
      <c r="B19" s="7"/>
      <c r="C19" s="8"/>
      <c r="D19" s="16"/>
      <c r="E19" s="16"/>
      <c r="F19" s="16"/>
      <c r="G19" s="16"/>
      <c r="H19" s="16"/>
      <c r="I19" s="8"/>
      <c r="J19" s="8"/>
      <c r="K19" s="8"/>
      <c r="L19" s="8"/>
      <c r="M19" s="8"/>
      <c r="N19" s="8"/>
      <c r="O19" s="8"/>
    </row>
    <row r="20" customFormat="false" ht="24.75" hidden="false" customHeight="true" outlineLevel="0" collapsed="false">
      <c r="A20" s="7"/>
      <c r="B20" s="7"/>
      <c r="C20" s="8"/>
      <c r="D20" s="16"/>
      <c r="E20" s="16"/>
      <c r="F20" s="16"/>
      <c r="G20" s="16"/>
      <c r="H20" s="16"/>
      <c r="I20" s="8"/>
      <c r="J20" s="8"/>
      <c r="K20" s="8"/>
      <c r="L20" s="8"/>
      <c r="M20" s="8"/>
      <c r="N20" s="8"/>
      <c r="O20" s="8"/>
    </row>
    <row r="21" customFormat="false" ht="30" hidden="false" customHeight="true" outlineLevel="0" collapsed="false">
      <c r="A21" s="7"/>
      <c r="B21" s="7"/>
      <c r="C21" s="12" t="s">
        <v>46</v>
      </c>
      <c r="D21" s="13" t="s">
        <v>372</v>
      </c>
      <c r="E21" s="13" t="s">
        <v>373</v>
      </c>
      <c r="F21" s="13" t="s">
        <v>374</v>
      </c>
      <c r="G21" s="16"/>
      <c r="H21" s="16"/>
      <c r="I21" s="8"/>
      <c r="J21" s="8"/>
      <c r="K21" s="8"/>
      <c r="L21" s="8"/>
      <c r="M21" s="8"/>
      <c r="N21" s="8"/>
      <c r="O21" s="8"/>
    </row>
    <row r="22" customFormat="false" ht="24.75" hidden="false" customHeight="true" outlineLevel="0" collapsed="false">
      <c r="A22" s="7"/>
      <c r="B22" s="7"/>
      <c r="C22" s="10" t="s">
        <v>406</v>
      </c>
      <c r="D22" s="14" t="n">
        <f aca="false">SUM(D6:D8)</f>
        <v>1476000</v>
      </c>
      <c r="E22" s="14" t="n">
        <f aca="false">SUM(E6:E8)</f>
        <v>2592000</v>
      </c>
      <c r="F22" s="14" t="n">
        <f aca="false">SUM(F6:F8)</f>
        <v>4176000</v>
      </c>
      <c r="G22" s="16"/>
      <c r="H22" s="16"/>
      <c r="I22" s="8"/>
      <c r="J22" s="8"/>
      <c r="K22" s="8"/>
      <c r="L22" s="8"/>
      <c r="M22" s="8"/>
      <c r="N22" s="8"/>
      <c r="O22" s="8"/>
    </row>
    <row r="23" customFormat="false" ht="24.75" hidden="false" customHeight="true" outlineLevel="0" collapsed="false">
      <c r="A23" s="7"/>
      <c r="B23" s="7"/>
      <c r="C23" s="10" t="s">
        <v>360</v>
      </c>
      <c r="D23" s="66" t="n">
        <f aca="false">SUMPRODUCT(D6:D8,'App Inputs'!$J$6:$J$8)</f>
        <v>741600</v>
      </c>
      <c r="E23" s="66" t="n">
        <f aca="false">SUMPRODUCT(E6:E8,'App Inputs'!$J$6:$J$8)</f>
        <v>1267200</v>
      </c>
      <c r="F23" s="66" t="n">
        <f aca="false">SUMPRODUCT(F6:F8,'App Inputs'!$J$6:$J$8)</f>
        <v>2019600</v>
      </c>
      <c r="G23" s="16"/>
      <c r="H23" s="16"/>
      <c r="I23" s="8"/>
      <c r="J23" s="8"/>
      <c r="K23" s="8"/>
      <c r="L23" s="8"/>
      <c r="M23" s="8"/>
      <c r="N23" s="8"/>
      <c r="O23" s="8"/>
    </row>
    <row r="24" customFormat="false" ht="24.75" hidden="false" customHeight="true" outlineLevel="0" collapsed="false">
      <c r="A24" s="7"/>
      <c r="B24" s="7"/>
      <c r="C24" s="10" t="s">
        <v>407</v>
      </c>
      <c r="D24" s="66" t="n">
        <f aca="false">'App Inputs'!D21</f>
        <v>650000</v>
      </c>
      <c r="E24" s="66" t="n">
        <f aca="false">'App Inputs'!E21</f>
        <v>750000</v>
      </c>
      <c r="F24" s="66" t="n">
        <f aca="false">'App Inputs'!F21</f>
        <v>900000</v>
      </c>
      <c r="G24" s="16"/>
      <c r="H24" s="16"/>
      <c r="I24" s="8"/>
      <c r="J24" s="8"/>
      <c r="K24" s="8"/>
      <c r="L24" s="8"/>
      <c r="M24" s="8"/>
      <c r="N24" s="8"/>
      <c r="O24" s="8"/>
    </row>
    <row r="25" customFormat="false" ht="24.75" hidden="false" customHeight="true" outlineLevel="0" collapsed="false">
      <c r="A25" s="7"/>
      <c r="B25" s="7"/>
      <c r="C25" s="10" t="s">
        <v>408</v>
      </c>
      <c r="D25" s="14" t="n">
        <f aca="false">D22-D23-D24</f>
        <v>84400</v>
      </c>
      <c r="E25" s="14" t="n">
        <f aca="false">E22-E23-E24</f>
        <v>574800</v>
      </c>
      <c r="F25" s="14" t="n">
        <f aca="false">F22-F23-F24</f>
        <v>1256400</v>
      </c>
      <c r="G25" s="16"/>
      <c r="H25" s="16"/>
      <c r="I25" s="8"/>
      <c r="J25" s="8"/>
      <c r="K25" s="8"/>
      <c r="L25" s="8"/>
      <c r="M25" s="8"/>
      <c r="N25" s="8"/>
      <c r="O25" s="8"/>
    </row>
    <row r="26" customFormat="false" ht="24.75" hidden="false" customHeight="true" outlineLevel="0" collapsed="false">
      <c r="A26" s="7"/>
      <c r="B26" s="7"/>
      <c r="C26" s="10" t="s">
        <v>409</v>
      </c>
      <c r="D26" s="66" t="n">
        <f aca="false">'App Inputs'!D26</f>
        <v>60000</v>
      </c>
      <c r="E26" s="66" t="n">
        <f aca="false">'App Inputs'!E26</f>
        <v>80000</v>
      </c>
      <c r="F26" s="66" t="n">
        <f aca="false">'App Inputs'!F26</f>
        <v>100000</v>
      </c>
      <c r="G26" s="16"/>
      <c r="H26" s="16"/>
      <c r="I26" s="8"/>
      <c r="J26" s="8"/>
      <c r="K26" s="8"/>
      <c r="L26" s="8"/>
      <c r="M26" s="8"/>
      <c r="N26" s="8"/>
      <c r="O26" s="8"/>
    </row>
    <row r="27" customFormat="false" ht="24.75" hidden="false" customHeight="true" outlineLevel="0" collapsed="false">
      <c r="A27" s="7"/>
      <c r="B27" s="7"/>
      <c r="C27" s="10" t="s">
        <v>410</v>
      </c>
      <c r="D27" s="14" t="n">
        <f aca="false">D25-D26</f>
        <v>24400</v>
      </c>
      <c r="E27" s="14" t="n">
        <f aca="false">E25-E26</f>
        <v>494800</v>
      </c>
      <c r="F27" s="14" t="n">
        <f aca="false">F25-F26</f>
        <v>1156400</v>
      </c>
      <c r="G27" s="16"/>
      <c r="H27" s="16"/>
      <c r="I27" s="8"/>
      <c r="J27" s="8"/>
      <c r="K27" s="8"/>
      <c r="L27" s="8"/>
      <c r="M27" s="8"/>
      <c r="N27" s="8"/>
      <c r="O27" s="8"/>
    </row>
    <row r="28" customFormat="false" ht="24.75" hidden="false" customHeight="true" outlineLevel="0" collapsed="false">
      <c r="A28" s="7"/>
      <c r="B28" s="7"/>
      <c r="C28" s="10" t="s">
        <v>411</v>
      </c>
      <c r="D28" s="66" t="n">
        <f aca="false">MAX(0,D27)*Terms!$D$19</f>
        <v>2440</v>
      </c>
      <c r="E28" s="66" t="n">
        <f aca="false">MAX(0,E27)*Terms!$D$19</f>
        <v>49480</v>
      </c>
      <c r="F28" s="66" t="n">
        <f aca="false">MAX(0,F27)*Terms!$D$19</f>
        <v>115640</v>
      </c>
      <c r="G28" s="16"/>
      <c r="H28" s="16"/>
      <c r="I28" s="8"/>
      <c r="J28" s="8"/>
      <c r="K28" s="8"/>
      <c r="L28" s="8"/>
      <c r="M28" s="8"/>
      <c r="N28" s="8"/>
      <c r="O28" s="8"/>
    </row>
    <row r="29" customFormat="false" ht="24.75" hidden="false" customHeight="true" outlineLevel="0" collapsed="false">
      <c r="A29" s="7"/>
      <c r="B29" s="7"/>
      <c r="C29" s="10" t="s">
        <v>412</v>
      </c>
      <c r="D29" s="14" t="n">
        <f aca="false">D27-D28</f>
        <v>21960</v>
      </c>
      <c r="E29" s="14" t="n">
        <f aca="false">E27-E28</f>
        <v>445320</v>
      </c>
      <c r="F29" s="14" t="n">
        <f aca="false">F27-F28</f>
        <v>1040760</v>
      </c>
      <c r="G29" s="16"/>
      <c r="H29" s="16"/>
      <c r="I29" s="8"/>
      <c r="J29" s="8"/>
      <c r="K29" s="8"/>
      <c r="L29" s="8"/>
      <c r="M29" s="8"/>
      <c r="N29" s="8"/>
      <c r="O29" s="8"/>
    </row>
    <row r="30" customFormat="false" ht="24.75" hidden="false" customHeight="true" outlineLevel="0" collapsed="false">
      <c r="A30" s="7"/>
      <c r="B30" s="7"/>
      <c r="C30" s="10" t="s">
        <v>413</v>
      </c>
      <c r="D30" s="66" t="n">
        <f aca="false">D22*Terms!$D$34</f>
        <v>147600</v>
      </c>
      <c r="E30" s="66" t="n">
        <f aca="false">E22*Terms!$D$34</f>
        <v>259200</v>
      </c>
      <c r="F30" s="66" t="n">
        <f aca="false">F22*Terms!$D$34</f>
        <v>417600</v>
      </c>
      <c r="G30" s="16"/>
      <c r="H30" s="16"/>
      <c r="I30" s="8"/>
      <c r="J30" s="8"/>
      <c r="K30" s="8"/>
      <c r="L30" s="8"/>
      <c r="M30" s="8"/>
      <c r="N30" s="8"/>
      <c r="O30" s="8"/>
    </row>
    <row r="31" customFormat="false" ht="24.75" hidden="false" customHeight="true" outlineLevel="0" collapsed="false">
      <c r="A31" s="7"/>
      <c r="B31" s="7"/>
      <c r="C31" s="10" t="s">
        <v>414</v>
      </c>
      <c r="D31" s="14" t="n">
        <f aca="false">D30</f>
        <v>147600</v>
      </c>
      <c r="E31" s="14" t="n">
        <f aca="false">E30-D30</f>
        <v>111600</v>
      </c>
      <c r="F31" s="14" t="n">
        <f aca="false">F30-E30</f>
        <v>158400</v>
      </c>
      <c r="G31" s="16"/>
      <c r="H31" s="16"/>
      <c r="I31" s="8"/>
      <c r="J31" s="8"/>
      <c r="K31" s="8"/>
      <c r="L31" s="8"/>
      <c r="M31" s="8"/>
      <c r="N31" s="8"/>
      <c r="O31" s="8"/>
    </row>
    <row r="32" customFormat="false" ht="24.75" hidden="false" customHeight="true" outlineLevel="0" collapsed="false">
      <c r="A32" s="7"/>
      <c r="B32" s="7"/>
      <c r="C32" s="10" t="s">
        <v>415</v>
      </c>
      <c r="D32" s="66" t="n">
        <f aca="false">'App Inputs'!D31</f>
        <v>300000</v>
      </c>
      <c r="E32" s="66" t="n">
        <f aca="false">'App Inputs'!E31</f>
        <v>40000</v>
      </c>
      <c r="F32" s="66" t="n">
        <f aca="false">'App Inputs'!F31</f>
        <v>50000</v>
      </c>
      <c r="G32" s="16"/>
      <c r="H32" s="16"/>
      <c r="I32" s="8"/>
      <c r="J32" s="8"/>
      <c r="K32" s="8"/>
      <c r="L32" s="8"/>
      <c r="M32" s="8"/>
      <c r="N32" s="8"/>
      <c r="O32" s="8"/>
    </row>
    <row r="33" customFormat="false" ht="24.75" hidden="false" customHeight="true" outlineLevel="0" collapsed="false">
      <c r="A33" s="7"/>
      <c r="B33" s="7"/>
      <c r="C33" s="10" t="s">
        <v>416</v>
      </c>
      <c r="D33" s="14" t="n">
        <f aca="false">D25-D28-D31-D32</f>
        <v>-365640</v>
      </c>
      <c r="E33" s="14" t="n">
        <f aca="false">E25-E28-E31-E32</f>
        <v>373720</v>
      </c>
      <c r="F33" s="14" t="n">
        <f aca="false">F25-F28-F31-F32</f>
        <v>932360</v>
      </c>
      <c r="G33" s="16"/>
      <c r="H33" s="16"/>
      <c r="I33" s="8"/>
      <c r="J33" s="8"/>
      <c r="K33" s="8"/>
      <c r="L33" s="8"/>
      <c r="M33" s="8"/>
      <c r="N33" s="8"/>
      <c r="O33" s="8"/>
    </row>
    <row r="34" customFormat="false" ht="24.75" hidden="false" customHeight="true" outlineLevel="0" collapsed="false">
      <c r="A34" s="7"/>
      <c r="B34" s="7"/>
      <c r="C34" s="10" t="s">
        <v>417</v>
      </c>
      <c r="D34" s="66" t="n">
        <f aca="false">SUMIFS(Funding!$E$6:$E$8,Funding!$C$6:$C$8,"&lt;="&amp;DATE(2027,12,31))</f>
        <v>1380000</v>
      </c>
      <c r="E34" s="14" t="n">
        <f aca="false">D37+SUMIFS(Funding!$E$6:$E$8,Funding!$C$6:$C$8,"&gt;="&amp;DATE(2028,1,1),Funding!$C$6:$C$8,"&lt;="&amp;DATE(2028,12,31))</f>
        <v>1014360</v>
      </c>
      <c r="F34" s="14" t="n">
        <f aca="false">E37+SUMIFS(Funding!$E$6:$E$8,Funding!$C$6:$C$8,"&gt;="&amp;DATE(2029,1,1),Funding!$C$6:$C$8,"&lt;="&amp;DATE(2029,12,31))</f>
        <v>1165420</v>
      </c>
      <c r="G34" s="16"/>
      <c r="H34" s="16"/>
      <c r="I34" s="8"/>
      <c r="J34" s="8"/>
      <c r="K34" s="8"/>
      <c r="L34" s="8"/>
      <c r="M34" s="8"/>
      <c r="N34" s="8"/>
      <c r="O34" s="8"/>
    </row>
    <row r="35" customFormat="false" ht="24.75" hidden="false" customHeight="true" outlineLevel="0" collapsed="false">
      <c r="A35" s="7"/>
      <c r="B35" s="7"/>
      <c r="C35" s="10" t="s">
        <v>418</v>
      </c>
      <c r="D35" s="66" t="n">
        <f aca="false">'App Inputs'!$D$36</f>
        <v>150000</v>
      </c>
      <c r="E35" s="66" t="n">
        <f aca="false">'App Inputs'!$D$36</f>
        <v>150000</v>
      </c>
      <c r="F35" s="66" t="n">
        <f aca="false">'App Inputs'!$D$36</f>
        <v>150000</v>
      </c>
      <c r="G35" s="16"/>
      <c r="H35" s="16"/>
      <c r="I35" s="8"/>
      <c r="J35" s="8"/>
      <c r="K35" s="8"/>
      <c r="L35" s="8"/>
      <c r="M35" s="8"/>
      <c r="N35" s="8"/>
      <c r="O35" s="8"/>
    </row>
    <row r="36" customFormat="false" ht="24.75" hidden="false" customHeight="true" outlineLevel="0" collapsed="false">
      <c r="A36" s="7"/>
      <c r="B36" s="7"/>
      <c r="C36" s="10" t="s">
        <v>204</v>
      </c>
      <c r="D36" s="14" t="n">
        <f aca="false">0</f>
        <v>0</v>
      </c>
      <c r="E36" s="66" t="n">
        <f aca="false">MAX(0,MIN(MAX(0,E29)*Terms!$D$20,E34+E33-E35))</f>
        <v>222660</v>
      </c>
      <c r="F36" s="66" t="n">
        <f aca="false">MAX(0,MIN(MAX(0,F29)*Terms!$D$20,F34+F33-F35))</f>
        <v>520380</v>
      </c>
      <c r="G36" s="16"/>
      <c r="H36" s="16"/>
      <c r="I36" s="8"/>
      <c r="J36" s="8"/>
      <c r="K36" s="8"/>
      <c r="L36" s="8"/>
      <c r="M36" s="8"/>
      <c r="N36" s="8"/>
      <c r="O36" s="8"/>
    </row>
    <row r="37" customFormat="false" ht="24.75" hidden="false" customHeight="true" outlineLevel="0" collapsed="false">
      <c r="A37" s="7"/>
      <c r="B37" s="7"/>
      <c r="C37" s="10" t="s">
        <v>419</v>
      </c>
      <c r="D37" s="14" t="n">
        <f aca="false">SUM(D34,D33)-D36</f>
        <v>1014360</v>
      </c>
      <c r="E37" s="14" t="n">
        <f aca="false">SUM(E34,E33)-E36</f>
        <v>1165420</v>
      </c>
      <c r="F37" s="14" t="n">
        <f aca="false">SUM(F34,F33)-F36</f>
        <v>1577400</v>
      </c>
      <c r="G37" s="16"/>
      <c r="H37" s="16"/>
      <c r="I37" s="8"/>
      <c r="J37" s="8"/>
      <c r="K37" s="8"/>
      <c r="L37" s="8"/>
      <c r="M37" s="8"/>
      <c r="N37" s="8"/>
      <c r="O37" s="8"/>
    </row>
    <row r="38" customFormat="false" ht="24.75" hidden="false" customHeight="true" outlineLevel="0" collapsed="false">
      <c r="A38" s="7"/>
      <c r="B38" s="7"/>
      <c r="C38" s="10" t="s">
        <v>420</v>
      </c>
      <c r="D38" s="66" t="n">
        <f aca="false">D36*Terms!$E$13</f>
        <v>0</v>
      </c>
      <c r="E38" s="66" t="n">
        <f aca="false">E36*Terms!$E$13</f>
        <v>66798</v>
      </c>
      <c r="F38" s="66" t="n">
        <f aca="false">F36*Terms!$E$13</f>
        <v>156114</v>
      </c>
      <c r="G38" s="16"/>
      <c r="H38" s="16"/>
      <c r="I38" s="8"/>
      <c r="J38" s="8"/>
      <c r="K38" s="8"/>
      <c r="L38" s="8"/>
      <c r="M38" s="8"/>
      <c r="N38" s="8"/>
      <c r="O38" s="8"/>
    </row>
    <row r="39" customFormat="false" ht="24.75" hidden="false" customHeight="true" outlineLevel="0" collapsed="false">
      <c r="A39" s="7"/>
      <c r="B39" s="7"/>
      <c r="C39" s="10" t="s">
        <v>421</v>
      </c>
      <c r="D39" s="67" t="n">
        <f aca="false">D38/Terms!$D$13</f>
        <v>0</v>
      </c>
      <c r="E39" s="67" t="n">
        <f aca="false">E38/Terms!$D$13</f>
        <v>0.048404347826087</v>
      </c>
      <c r="F39" s="67" t="n">
        <f aca="false">F38/Terms!$D$13</f>
        <v>0.113126086956522</v>
      </c>
      <c r="G39" s="16"/>
      <c r="H39" s="16"/>
      <c r="I39" s="8"/>
      <c r="J39" s="8"/>
      <c r="K39" s="8"/>
      <c r="L39" s="8"/>
      <c r="M39" s="8"/>
      <c r="N39" s="8"/>
      <c r="O39" s="8"/>
    </row>
    <row r="40" customFormat="false" ht="24.75" hidden="false" customHeight="true" outlineLevel="0" collapsed="false">
      <c r="A40" s="7"/>
      <c r="B40" s="7"/>
      <c r="C40" s="8"/>
      <c r="D40" s="16"/>
      <c r="E40" s="16"/>
      <c r="F40" s="16"/>
      <c r="G40" s="16"/>
      <c r="H40" s="16"/>
      <c r="I40" s="8"/>
      <c r="J40" s="8"/>
      <c r="K40" s="8"/>
      <c r="L40" s="8"/>
      <c r="M40" s="8"/>
      <c r="N40" s="8"/>
      <c r="O40" s="8"/>
    </row>
    <row r="41" customFormat="false" ht="24.75" hidden="false" customHeight="true" outlineLevel="0" collapsed="false">
      <c r="A41" s="7"/>
      <c r="B41" s="7"/>
      <c r="C41" s="8"/>
      <c r="D41" s="16"/>
      <c r="E41" s="16"/>
      <c r="F41" s="16"/>
      <c r="G41" s="16"/>
      <c r="H41" s="16"/>
      <c r="I41" s="8"/>
      <c r="J41" s="8"/>
      <c r="K41" s="8"/>
      <c r="L41" s="8"/>
      <c r="M41" s="8"/>
      <c r="N41" s="8"/>
      <c r="O41" s="8"/>
    </row>
    <row r="42" customFormat="false" ht="24.75" hidden="false" customHeight="true" outlineLevel="0" collapsed="false">
      <c r="A42" s="7"/>
      <c r="B42" s="7"/>
      <c r="C42" s="8"/>
      <c r="D42" s="16"/>
      <c r="E42" s="16"/>
      <c r="F42" s="16"/>
      <c r="G42" s="16"/>
      <c r="H42" s="16"/>
      <c r="I42" s="8"/>
      <c r="J42" s="8"/>
      <c r="K42" s="8"/>
      <c r="L42" s="8"/>
      <c r="M42" s="8"/>
      <c r="N42" s="8"/>
      <c r="O42" s="8"/>
    </row>
    <row r="43" customFormat="false" ht="24.75" hidden="false" customHeight="true" outlineLevel="0" collapsed="false">
      <c r="A43" s="7"/>
      <c r="B43" s="7"/>
      <c r="C43" s="8"/>
      <c r="D43" s="16"/>
      <c r="E43" s="16"/>
      <c r="F43" s="16"/>
      <c r="G43" s="16"/>
      <c r="H43" s="16"/>
      <c r="I43" s="8"/>
      <c r="J43" s="8"/>
      <c r="K43" s="8"/>
      <c r="L43" s="8"/>
      <c r="M43" s="8"/>
      <c r="N43" s="8"/>
      <c r="O43" s="8"/>
    </row>
    <row r="44" customFormat="false" ht="24.75" hidden="false" customHeight="true" outlineLevel="0" collapsed="false">
      <c r="A44" s="7"/>
      <c r="B44" s="7"/>
      <c r="C44" s="8"/>
      <c r="D44" s="16"/>
      <c r="E44" s="16"/>
      <c r="F44" s="16"/>
      <c r="G44" s="16"/>
      <c r="H44" s="16"/>
      <c r="I44" s="8"/>
      <c r="J44" s="8"/>
      <c r="K44" s="8"/>
      <c r="L44" s="8"/>
      <c r="M44" s="8"/>
      <c r="N44" s="8"/>
      <c r="O44" s="8"/>
    </row>
    <row r="45" customFormat="false" ht="24.75" hidden="false" customHeight="true" outlineLevel="0" collapsed="false">
      <c r="A45" s="7"/>
      <c r="B45" s="7"/>
      <c r="C45" s="12" t="s">
        <v>47</v>
      </c>
      <c r="D45" s="13" t="s">
        <v>372</v>
      </c>
      <c r="E45" s="13" t="s">
        <v>373</v>
      </c>
      <c r="F45" s="13" t="s">
        <v>374</v>
      </c>
      <c r="G45" s="16"/>
      <c r="H45" s="16"/>
      <c r="I45" s="8"/>
      <c r="J45" s="8"/>
      <c r="K45" s="8"/>
      <c r="L45" s="8"/>
      <c r="M45" s="8"/>
      <c r="N45" s="8"/>
      <c r="O45" s="8"/>
    </row>
    <row r="46" customFormat="false" ht="24.75" hidden="false" customHeight="true" outlineLevel="0" collapsed="false">
      <c r="A46" s="7"/>
      <c r="B46" s="7"/>
      <c r="C46" s="10" t="s">
        <v>406</v>
      </c>
      <c r="D46" s="14" t="n">
        <f aca="false">SUM(D9:D11)</f>
        <v>1480000</v>
      </c>
      <c r="E46" s="14" t="n">
        <f aca="false">SUM(E9:E11)</f>
        <v>2600000</v>
      </c>
      <c r="F46" s="14" t="n">
        <f aca="false">SUM(F9:F11)</f>
        <v>3900000</v>
      </c>
      <c r="G46" s="16"/>
      <c r="H46" s="16"/>
      <c r="I46" s="8"/>
      <c r="J46" s="8"/>
      <c r="K46" s="8"/>
      <c r="L46" s="8"/>
      <c r="M46" s="8"/>
      <c r="N46" s="8"/>
      <c r="O46" s="8"/>
    </row>
    <row r="47" customFormat="false" ht="24.75" hidden="false" customHeight="true" outlineLevel="0" collapsed="false">
      <c r="A47" s="7"/>
      <c r="B47" s="7"/>
      <c r="C47" s="10" t="s">
        <v>360</v>
      </c>
      <c r="D47" s="66" t="n">
        <f aca="false">SUMPRODUCT(D9:D11,'App Inputs'!$J$9:$J$11)</f>
        <v>484000</v>
      </c>
      <c r="E47" s="66" t="n">
        <f aca="false">SUMPRODUCT(E9:E11,'App Inputs'!$J$9:$J$11)</f>
        <v>842000</v>
      </c>
      <c r="F47" s="66" t="n">
        <f aca="false">SUMPRODUCT(F9:F11,'App Inputs'!$J$9:$J$11)</f>
        <v>1236000</v>
      </c>
      <c r="G47" s="16"/>
      <c r="H47" s="16"/>
      <c r="I47" s="8"/>
      <c r="J47" s="8"/>
      <c r="K47" s="8"/>
      <c r="L47" s="8"/>
      <c r="M47" s="8"/>
      <c r="N47" s="8"/>
      <c r="O47" s="8"/>
    </row>
    <row r="48" customFormat="false" ht="24.75" hidden="false" customHeight="true" outlineLevel="0" collapsed="false">
      <c r="A48" s="7"/>
      <c r="B48" s="7"/>
      <c r="C48" s="10" t="s">
        <v>407</v>
      </c>
      <c r="D48" s="66" t="n">
        <f aca="false">'App Inputs'!D22</f>
        <v>850000</v>
      </c>
      <c r="E48" s="66" t="n">
        <f aca="false">'App Inputs'!E22</f>
        <v>1000000</v>
      </c>
      <c r="F48" s="66" t="n">
        <f aca="false">'App Inputs'!F22</f>
        <v>1200000</v>
      </c>
      <c r="G48" s="16"/>
      <c r="H48" s="16"/>
      <c r="I48" s="8"/>
      <c r="J48" s="8"/>
      <c r="K48" s="8"/>
      <c r="L48" s="8"/>
      <c r="M48" s="8"/>
      <c r="N48" s="8"/>
      <c r="O48" s="8"/>
    </row>
    <row r="49" customFormat="false" ht="24.75" hidden="false" customHeight="true" outlineLevel="0" collapsed="false">
      <c r="A49" s="7"/>
      <c r="B49" s="7"/>
      <c r="C49" s="10" t="s">
        <v>408</v>
      </c>
      <c r="D49" s="14" t="n">
        <f aca="false">D46-D47-D48</f>
        <v>146000</v>
      </c>
      <c r="E49" s="14" t="n">
        <f aca="false">E46-E47-E48</f>
        <v>758000</v>
      </c>
      <c r="F49" s="14" t="n">
        <f aca="false">F46-F47-F48</f>
        <v>1464000</v>
      </c>
      <c r="G49" s="16"/>
      <c r="H49" s="16"/>
      <c r="I49" s="8"/>
      <c r="J49" s="8"/>
      <c r="K49" s="8"/>
      <c r="L49" s="8"/>
      <c r="M49" s="8"/>
      <c r="N49" s="8"/>
      <c r="O49" s="8"/>
    </row>
    <row r="50" customFormat="false" ht="24.75" hidden="false" customHeight="true" outlineLevel="0" collapsed="false">
      <c r="A50" s="7"/>
      <c r="B50" s="7"/>
      <c r="C50" s="10" t="s">
        <v>409</v>
      </c>
      <c r="D50" s="66" t="n">
        <f aca="false">'App Inputs'!D27</f>
        <v>90000</v>
      </c>
      <c r="E50" s="66" t="n">
        <f aca="false">'App Inputs'!E27</f>
        <v>120000</v>
      </c>
      <c r="F50" s="66" t="n">
        <f aca="false">'App Inputs'!F27</f>
        <v>150000</v>
      </c>
      <c r="G50" s="16"/>
      <c r="H50" s="16"/>
      <c r="I50" s="8"/>
      <c r="J50" s="8"/>
      <c r="K50" s="8"/>
      <c r="L50" s="8"/>
      <c r="M50" s="8"/>
      <c r="N50" s="8"/>
      <c r="O50" s="8"/>
    </row>
    <row r="51" customFormat="false" ht="24.75" hidden="false" customHeight="true" outlineLevel="0" collapsed="false">
      <c r="A51" s="7"/>
      <c r="B51" s="7"/>
      <c r="C51" s="10" t="s">
        <v>410</v>
      </c>
      <c r="D51" s="14" t="n">
        <f aca="false">D49-D50</f>
        <v>56000</v>
      </c>
      <c r="E51" s="14" t="n">
        <f aca="false">E49-E50</f>
        <v>638000</v>
      </c>
      <c r="F51" s="14" t="n">
        <f aca="false">F49-F50</f>
        <v>1314000</v>
      </c>
      <c r="G51" s="16"/>
      <c r="H51" s="16"/>
      <c r="I51" s="8"/>
      <c r="J51" s="8"/>
      <c r="K51" s="8"/>
      <c r="L51" s="8"/>
      <c r="M51" s="8"/>
      <c r="N51" s="8"/>
      <c r="O51" s="8"/>
    </row>
    <row r="52" customFormat="false" ht="24.75" hidden="false" customHeight="true" outlineLevel="0" collapsed="false">
      <c r="A52" s="7"/>
      <c r="B52" s="7"/>
      <c r="C52" s="10" t="s">
        <v>411</v>
      </c>
      <c r="D52" s="66" t="n">
        <f aca="false">MAX(0,D51)*Terms!$D$19</f>
        <v>5600</v>
      </c>
      <c r="E52" s="66" t="n">
        <f aca="false">MAX(0,E51)*Terms!$D$19</f>
        <v>63800</v>
      </c>
      <c r="F52" s="66" t="n">
        <f aca="false">MAX(0,F51)*Terms!$D$19</f>
        <v>131400</v>
      </c>
      <c r="G52" s="16"/>
      <c r="H52" s="16"/>
      <c r="I52" s="8"/>
      <c r="J52" s="8"/>
      <c r="K52" s="8"/>
      <c r="L52" s="8"/>
      <c r="M52" s="8"/>
      <c r="N52" s="8"/>
      <c r="O52" s="8"/>
    </row>
    <row r="53" customFormat="false" ht="24.75" hidden="false" customHeight="true" outlineLevel="0" collapsed="false">
      <c r="A53" s="7"/>
      <c r="B53" s="7"/>
      <c r="C53" s="10" t="s">
        <v>412</v>
      </c>
      <c r="D53" s="14" t="n">
        <f aca="false">D51-D52</f>
        <v>50400</v>
      </c>
      <c r="E53" s="14" t="n">
        <f aca="false">E51-E52</f>
        <v>574200</v>
      </c>
      <c r="F53" s="14" t="n">
        <f aca="false">F51-F52</f>
        <v>1182600</v>
      </c>
      <c r="G53" s="16"/>
      <c r="H53" s="16"/>
      <c r="I53" s="8"/>
      <c r="J53" s="8"/>
      <c r="K53" s="8"/>
      <c r="L53" s="8"/>
      <c r="M53" s="8"/>
      <c r="N53" s="8"/>
      <c r="O53" s="8"/>
    </row>
    <row r="54" customFormat="false" ht="24.75" hidden="false" customHeight="true" outlineLevel="0" collapsed="false">
      <c r="A54" s="7"/>
      <c r="B54" s="7"/>
      <c r="C54" s="10" t="s">
        <v>413</v>
      </c>
      <c r="D54" s="66" t="n">
        <f aca="false">D46*Terms!$D$34</f>
        <v>148000</v>
      </c>
      <c r="E54" s="66" t="n">
        <f aca="false">E46*Terms!$D$34</f>
        <v>260000</v>
      </c>
      <c r="F54" s="66" t="n">
        <f aca="false">F46*Terms!$D$34</f>
        <v>390000</v>
      </c>
      <c r="G54" s="16"/>
      <c r="H54" s="16"/>
      <c r="I54" s="8"/>
      <c r="J54" s="8"/>
      <c r="K54" s="8"/>
      <c r="L54" s="8"/>
      <c r="M54" s="8"/>
      <c r="N54" s="8"/>
      <c r="O54" s="8"/>
    </row>
    <row r="55" customFormat="false" ht="24.75" hidden="false" customHeight="true" outlineLevel="0" collapsed="false">
      <c r="A55" s="7"/>
      <c r="B55" s="7"/>
      <c r="C55" s="10" t="s">
        <v>414</v>
      </c>
      <c r="D55" s="14" t="n">
        <f aca="false">D54</f>
        <v>148000</v>
      </c>
      <c r="E55" s="14" t="n">
        <f aca="false">E54-D54</f>
        <v>112000</v>
      </c>
      <c r="F55" s="14" t="n">
        <f aca="false">F54-E54</f>
        <v>130000</v>
      </c>
      <c r="G55" s="16"/>
      <c r="H55" s="16"/>
      <c r="I55" s="8"/>
      <c r="J55" s="8"/>
      <c r="K55" s="8"/>
      <c r="L55" s="8"/>
      <c r="M55" s="8"/>
      <c r="N55" s="8"/>
      <c r="O55" s="8"/>
    </row>
    <row r="56" customFormat="false" ht="24.75" hidden="false" customHeight="true" outlineLevel="0" collapsed="false">
      <c r="A56" s="7"/>
      <c r="B56" s="7"/>
      <c r="C56" s="10" t="s">
        <v>415</v>
      </c>
      <c r="D56" s="66" t="n">
        <f aca="false">'App Inputs'!D32</f>
        <v>500000</v>
      </c>
      <c r="E56" s="66" t="n">
        <f aca="false">'App Inputs'!E32</f>
        <v>50000</v>
      </c>
      <c r="F56" s="66" t="n">
        <f aca="false">'App Inputs'!F32</f>
        <v>70000</v>
      </c>
      <c r="G56" s="16"/>
      <c r="H56" s="16"/>
      <c r="I56" s="8"/>
      <c r="J56" s="8"/>
      <c r="K56" s="8"/>
      <c r="L56" s="8"/>
      <c r="M56" s="8"/>
      <c r="N56" s="8"/>
      <c r="O56" s="8"/>
    </row>
    <row r="57" customFormat="false" ht="24.75" hidden="false" customHeight="true" outlineLevel="0" collapsed="false">
      <c r="A57" s="7"/>
      <c r="B57" s="7"/>
      <c r="C57" s="10" t="s">
        <v>416</v>
      </c>
      <c r="D57" s="14" t="n">
        <f aca="false">D49-D52-D55-D56</f>
        <v>-507600</v>
      </c>
      <c r="E57" s="14" t="n">
        <f aca="false">E49-E52-E55-E56</f>
        <v>532200</v>
      </c>
      <c r="F57" s="14" t="n">
        <f aca="false">F49-F52-F55-F56</f>
        <v>1132600</v>
      </c>
      <c r="G57" s="16"/>
      <c r="H57" s="16"/>
      <c r="I57" s="8"/>
      <c r="J57" s="8"/>
      <c r="K57" s="8"/>
      <c r="L57" s="8"/>
      <c r="M57" s="8"/>
      <c r="N57" s="8"/>
      <c r="O57" s="8"/>
    </row>
    <row r="58" customFormat="false" ht="24.75" hidden="false" customHeight="true" outlineLevel="0" collapsed="false">
      <c r="A58" s="7"/>
      <c r="B58" s="7"/>
      <c r="C58" s="10" t="s">
        <v>417</v>
      </c>
      <c r="D58" s="66" t="n">
        <f aca="false">SUMIFS(Funding!$F$6:$F$8,Funding!$C$6:$C$8,"&lt;="&amp;DATE(2027,12,31))</f>
        <v>1290000</v>
      </c>
      <c r="E58" s="14" t="n">
        <f aca="false">D61+SUMIFS(Funding!$F$6:$F$8,Funding!$C$6:$C$8,"&gt;="&amp;DATE(2028,1,1),Funding!$C$6:$C$8,"&lt;="&amp;DATE(2028,12,31))</f>
        <v>782400</v>
      </c>
      <c r="F58" s="14" t="n">
        <f aca="false">E61+SUMIFS(Funding!$F$6:$F$8,Funding!$C$6:$C$8,"&gt;="&amp;DATE(2029,1,1),Funding!$C$6:$C$8,"&lt;="&amp;DATE(2029,12,31))</f>
        <v>1027500</v>
      </c>
      <c r="G58" s="16"/>
      <c r="H58" s="16"/>
      <c r="I58" s="8"/>
      <c r="J58" s="8"/>
      <c r="K58" s="8"/>
      <c r="L58" s="8"/>
      <c r="M58" s="8"/>
      <c r="N58" s="8"/>
      <c r="O58" s="8"/>
    </row>
    <row r="59" customFormat="false" ht="24.75" hidden="false" customHeight="true" outlineLevel="0" collapsed="false">
      <c r="A59" s="7"/>
      <c r="B59" s="7"/>
      <c r="C59" s="10" t="s">
        <v>418</v>
      </c>
      <c r="D59" s="66" t="n">
        <f aca="false">'App Inputs'!$D$37</f>
        <v>110000</v>
      </c>
      <c r="E59" s="66" t="n">
        <f aca="false">'App Inputs'!$D$37</f>
        <v>110000</v>
      </c>
      <c r="F59" s="66" t="n">
        <f aca="false">'App Inputs'!$D$37</f>
        <v>110000</v>
      </c>
      <c r="G59" s="16"/>
      <c r="H59" s="16"/>
      <c r="I59" s="8"/>
      <c r="J59" s="8"/>
      <c r="K59" s="8"/>
      <c r="L59" s="8"/>
      <c r="M59" s="8"/>
      <c r="N59" s="8"/>
      <c r="O59" s="8"/>
    </row>
    <row r="60" customFormat="false" ht="24.75" hidden="false" customHeight="true" outlineLevel="0" collapsed="false">
      <c r="A60" s="7"/>
      <c r="B60" s="7"/>
      <c r="C60" s="10" t="s">
        <v>204</v>
      </c>
      <c r="D60" s="14" t="n">
        <f aca="false">0</f>
        <v>0</v>
      </c>
      <c r="E60" s="66" t="n">
        <f aca="false">MAX(0,MIN(MAX(0,E53)*Terms!$D$20,E58+E57-E59))</f>
        <v>287100</v>
      </c>
      <c r="F60" s="66" t="n">
        <f aca="false">MAX(0,MIN(MAX(0,F53)*Terms!$D$20,F58+F57-F59))</f>
        <v>591300</v>
      </c>
      <c r="G60" s="16"/>
      <c r="H60" s="16"/>
      <c r="I60" s="8"/>
      <c r="J60" s="8"/>
      <c r="K60" s="8"/>
      <c r="L60" s="8"/>
      <c r="M60" s="8"/>
      <c r="N60" s="8"/>
      <c r="O60" s="8"/>
    </row>
    <row r="61" customFormat="false" ht="24.75" hidden="false" customHeight="true" outlineLevel="0" collapsed="false">
      <c r="A61" s="7"/>
      <c r="B61" s="7"/>
      <c r="C61" s="10" t="s">
        <v>419</v>
      </c>
      <c r="D61" s="14" t="n">
        <f aca="false">SUM(D58,D57)-D60</f>
        <v>782400</v>
      </c>
      <c r="E61" s="14" t="n">
        <f aca="false">SUM(E58,E57)-E60</f>
        <v>1027500</v>
      </c>
      <c r="F61" s="14" t="n">
        <f aca="false">SUM(F58,F57)-F60</f>
        <v>1568800</v>
      </c>
      <c r="G61" s="16"/>
      <c r="H61" s="16"/>
      <c r="I61" s="8"/>
      <c r="J61" s="8"/>
      <c r="K61" s="8"/>
      <c r="L61" s="8"/>
      <c r="M61" s="8"/>
      <c r="N61" s="8"/>
      <c r="O61" s="8"/>
    </row>
    <row r="62" customFormat="false" ht="24.75" hidden="false" customHeight="true" outlineLevel="0" collapsed="false">
      <c r="A62" s="7"/>
      <c r="B62" s="7"/>
      <c r="C62" s="10" t="s">
        <v>420</v>
      </c>
      <c r="D62" s="66" t="n">
        <f aca="false">D60*Terms!$E$14</f>
        <v>0</v>
      </c>
      <c r="E62" s="66" t="n">
        <f aca="false">E60*Terms!$E$14</f>
        <v>86130</v>
      </c>
      <c r="F62" s="66" t="n">
        <f aca="false">F60*Terms!$E$14</f>
        <v>177390</v>
      </c>
      <c r="G62" s="16"/>
      <c r="H62" s="16"/>
      <c r="I62" s="8"/>
      <c r="J62" s="8"/>
      <c r="K62" s="8"/>
      <c r="L62" s="8"/>
      <c r="M62" s="8"/>
      <c r="N62" s="8"/>
      <c r="O62" s="8"/>
    </row>
    <row r="63" customFormat="false" ht="24.75" hidden="false" customHeight="true" outlineLevel="0" collapsed="false">
      <c r="A63" s="7"/>
      <c r="B63" s="7"/>
      <c r="C63" s="10" t="s">
        <v>421</v>
      </c>
      <c r="D63" s="67" t="n">
        <f aca="false">D62/Terms!$D$14</f>
        <v>0</v>
      </c>
      <c r="E63" s="67" t="n">
        <f aca="false">E62/Terms!$D$14</f>
        <v>0.0667674418604651</v>
      </c>
      <c r="F63" s="67" t="n">
        <f aca="false">F62/Terms!$D$14</f>
        <v>0.137511627906977</v>
      </c>
      <c r="G63" s="16"/>
      <c r="H63" s="16"/>
      <c r="I63" s="8"/>
      <c r="J63" s="8"/>
      <c r="K63" s="8"/>
      <c r="L63" s="8"/>
      <c r="M63" s="8"/>
      <c r="N63" s="8"/>
      <c r="O63" s="8"/>
    </row>
    <row r="64" customFormat="false" ht="24.75" hidden="false" customHeight="true" outlineLevel="0" collapsed="false">
      <c r="A64" s="7"/>
      <c r="B64" s="7"/>
      <c r="C64" s="8"/>
      <c r="D64" s="16"/>
      <c r="E64" s="16"/>
      <c r="F64" s="16"/>
      <c r="G64" s="16"/>
      <c r="H64" s="16"/>
      <c r="I64" s="8"/>
      <c r="J64" s="8"/>
      <c r="K64" s="8"/>
      <c r="L64" s="8"/>
      <c r="M64" s="8"/>
      <c r="N64" s="8"/>
      <c r="O64" s="8"/>
    </row>
    <row r="65" customFormat="false" ht="24.75" hidden="false" customHeight="true" outlineLevel="0" collapsed="false">
      <c r="A65" s="7"/>
      <c r="B65" s="7"/>
      <c r="C65" s="8"/>
      <c r="D65" s="16"/>
      <c r="E65" s="16"/>
      <c r="F65" s="16"/>
      <c r="G65" s="16"/>
      <c r="H65" s="16"/>
      <c r="I65" s="8"/>
      <c r="J65" s="8"/>
      <c r="K65" s="8"/>
      <c r="L65" s="8"/>
      <c r="M65" s="8"/>
      <c r="N65" s="8"/>
      <c r="O65" s="8"/>
    </row>
    <row r="66" customFormat="false" ht="24.75" hidden="false" customHeight="true" outlineLevel="0" collapsed="false">
      <c r="A66" s="7"/>
      <c r="B66" s="7"/>
      <c r="C66" s="8"/>
      <c r="D66" s="16"/>
      <c r="E66" s="16"/>
      <c r="F66" s="16"/>
      <c r="G66" s="16"/>
      <c r="H66" s="16"/>
      <c r="I66" s="8"/>
      <c r="J66" s="8"/>
      <c r="K66" s="8"/>
      <c r="L66" s="8"/>
      <c r="M66" s="8"/>
      <c r="N66" s="8"/>
      <c r="O66" s="8"/>
    </row>
    <row r="67" customFormat="false" ht="24.75" hidden="false" customHeight="true" outlineLevel="0" collapsed="false">
      <c r="A67" s="7"/>
      <c r="B67" s="7"/>
      <c r="C67" s="8"/>
      <c r="D67" s="16"/>
      <c r="E67" s="16"/>
      <c r="F67" s="16"/>
      <c r="G67" s="16"/>
      <c r="H67" s="16"/>
      <c r="I67" s="8"/>
      <c r="J67" s="8"/>
      <c r="K67" s="8"/>
      <c r="L67" s="8"/>
      <c r="M67" s="8"/>
      <c r="N67" s="8"/>
      <c r="O67" s="8"/>
    </row>
    <row r="68" customFormat="false" ht="24.75" hidden="false" customHeight="true" outlineLevel="0" collapsed="false">
      <c r="A68" s="7"/>
      <c r="B68" s="7"/>
      <c r="C68" s="8"/>
      <c r="D68" s="16"/>
      <c r="E68" s="16"/>
      <c r="F68" s="16"/>
      <c r="G68" s="16"/>
      <c r="H68" s="16"/>
      <c r="I68" s="8"/>
      <c r="J68" s="8"/>
      <c r="K68" s="8"/>
      <c r="L68" s="8"/>
      <c r="M68" s="8"/>
      <c r="N68" s="8"/>
      <c r="O68" s="8"/>
    </row>
    <row r="69" customFormat="false" ht="30" hidden="false" customHeight="true" outlineLevel="0" collapsed="false">
      <c r="A69" s="7"/>
      <c r="B69" s="7"/>
      <c r="C69" s="12" t="s">
        <v>48</v>
      </c>
      <c r="D69" s="13" t="s">
        <v>372</v>
      </c>
      <c r="E69" s="13" t="s">
        <v>373</v>
      </c>
      <c r="F69" s="13" t="s">
        <v>374</v>
      </c>
      <c r="G69" s="16"/>
      <c r="H69" s="16"/>
      <c r="I69" s="8"/>
      <c r="J69" s="8"/>
      <c r="K69" s="8"/>
      <c r="L69" s="8"/>
      <c r="M69" s="8"/>
      <c r="N69" s="8"/>
      <c r="O69" s="8"/>
    </row>
    <row r="70" customFormat="false" ht="24.75" hidden="false" customHeight="true" outlineLevel="0" collapsed="false">
      <c r="A70" s="7"/>
      <c r="B70" s="7"/>
      <c r="C70" s="10" t="s">
        <v>406</v>
      </c>
      <c r="D70" s="14" t="n">
        <f aca="false">SUM(D12:D16)</f>
        <v>5100000</v>
      </c>
      <c r="E70" s="14" t="n">
        <f aca="false">SUM(E12:E16)</f>
        <v>8140000</v>
      </c>
      <c r="F70" s="14" t="n">
        <f aca="false">SUM(F12:F16)</f>
        <v>11480000</v>
      </c>
      <c r="G70" s="16"/>
      <c r="H70" s="16"/>
      <c r="I70" s="8"/>
      <c r="J70" s="8"/>
      <c r="K70" s="8"/>
      <c r="L70" s="8"/>
      <c r="M70" s="8"/>
      <c r="N70" s="8"/>
      <c r="O70" s="8"/>
    </row>
    <row r="71" customFormat="false" ht="24.75" hidden="false" customHeight="true" outlineLevel="0" collapsed="false">
      <c r="A71" s="7"/>
      <c r="B71" s="7"/>
      <c r="C71" s="10" t="s">
        <v>360</v>
      </c>
      <c r="D71" s="66" t="n">
        <f aca="false">SUMPRODUCT(D12:D16,'App Inputs'!$J$12:$J$16)</f>
        <v>2613000</v>
      </c>
      <c r="E71" s="66" t="n">
        <f aca="false">SUMPRODUCT(E12:E16,'App Inputs'!$J$12:$J$16)</f>
        <v>4097000</v>
      </c>
      <c r="F71" s="66" t="n">
        <f aca="false">SUMPRODUCT(F12:F16,'App Inputs'!$J$12:$J$16)</f>
        <v>5641000</v>
      </c>
      <c r="G71" s="16"/>
      <c r="H71" s="16"/>
      <c r="I71" s="8"/>
      <c r="J71" s="8"/>
      <c r="K71" s="8"/>
      <c r="L71" s="8"/>
      <c r="M71" s="8"/>
      <c r="N71" s="8"/>
      <c r="O71" s="8"/>
    </row>
    <row r="72" customFormat="false" ht="24.75" hidden="false" customHeight="true" outlineLevel="0" collapsed="false">
      <c r="A72" s="7"/>
      <c r="B72" s="7"/>
      <c r="C72" s="10" t="s">
        <v>407</v>
      </c>
      <c r="D72" s="66" t="n">
        <f aca="false">'App Inputs'!D23</f>
        <v>2200000</v>
      </c>
      <c r="E72" s="66" t="n">
        <f aca="false">'App Inputs'!E23</f>
        <v>2600000</v>
      </c>
      <c r="F72" s="66" t="n">
        <f aca="false">'App Inputs'!F23</f>
        <v>3100000</v>
      </c>
      <c r="G72" s="16"/>
      <c r="H72" s="16"/>
      <c r="I72" s="8"/>
      <c r="J72" s="8"/>
      <c r="K72" s="8"/>
      <c r="L72" s="8"/>
      <c r="M72" s="8"/>
      <c r="N72" s="8"/>
      <c r="O72" s="8"/>
    </row>
    <row r="73" customFormat="false" ht="24.75" hidden="false" customHeight="true" outlineLevel="0" collapsed="false">
      <c r="A73" s="7"/>
      <c r="B73" s="7"/>
      <c r="C73" s="10" t="s">
        <v>408</v>
      </c>
      <c r="D73" s="14" t="n">
        <f aca="false">D70-D71-D72</f>
        <v>287000</v>
      </c>
      <c r="E73" s="14" t="n">
        <f aca="false">E70-E71-E72</f>
        <v>1443000</v>
      </c>
      <c r="F73" s="14" t="n">
        <f aca="false">F70-F71-F72</f>
        <v>2739000</v>
      </c>
      <c r="G73" s="16"/>
      <c r="H73" s="16"/>
      <c r="I73" s="8"/>
      <c r="J73" s="8"/>
      <c r="K73" s="8"/>
      <c r="L73" s="8"/>
      <c r="M73" s="8"/>
      <c r="N73" s="8"/>
      <c r="O73" s="8"/>
    </row>
    <row r="74" customFormat="false" ht="24.75" hidden="false" customHeight="true" outlineLevel="0" collapsed="false">
      <c r="A74" s="7"/>
      <c r="B74" s="7"/>
      <c r="C74" s="10" t="s">
        <v>409</v>
      </c>
      <c r="D74" s="66" t="n">
        <f aca="false">'App Inputs'!D28</f>
        <v>250000</v>
      </c>
      <c r="E74" s="66" t="n">
        <f aca="false">'App Inputs'!E28</f>
        <v>350000</v>
      </c>
      <c r="F74" s="66" t="n">
        <f aca="false">'App Inputs'!F28</f>
        <v>450000</v>
      </c>
      <c r="G74" s="16"/>
      <c r="H74" s="16"/>
      <c r="I74" s="8"/>
      <c r="J74" s="8"/>
      <c r="K74" s="8"/>
      <c r="L74" s="8"/>
      <c r="M74" s="8"/>
      <c r="N74" s="8"/>
      <c r="O74" s="8"/>
    </row>
    <row r="75" customFormat="false" ht="24.75" hidden="false" customHeight="true" outlineLevel="0" collapsed="false">
      <c r="A75" s="7"/>
      <c r="B75" s="7"/>
      <c r="C75" s="10" t="s">
        <v>410</v>
      </c>
      <c r="D75" s="14" t="n">
        <f aca="false">D73-D74</f>
        <v>37000</v>
      </c>
      <c r="E75" s="14" t="n">
        <f aca="false">E73-E74</f>
        <v>1093000</v>
      </c>
      <c r="F75" s="14" t="n">
        <f aca="false">F73-F74</f>
        <v>2289000</v>
      </c>
      <c r="G75" s="16"/>
      <c r="H75" s="16"/>
      <c r="I75" s="8"/>
      <c r="J75" s="8"/>
      <c r="K75" s="8"/>
      <c r="L75" s="8"/>
      <c r="M75" s="8"/>
      <c r="N75" s="8"/>
      <c r="O75" s="8"/>
    </row>
    <row r="76" customFormat="false" ht="24.75" hidden="false" customHeight="true" outlineLevel="0" collapsed="false">
      <c r="A76" s="7"/>
      <c r="B76" s="7"/>
      <c r="C76" s="10" t="s">
        <v>411</v>
      </c>
      <c r="D76" s="66" t="n">
        <f aca="false">MAX(0,D75)*Terms!$D$19</f>
        <v>3700</v>
      </c>
      <c r="E76" s="66" t="n">
        <f aca="false">MAX(0,E75)*Terms!$D$19</f>
        <v>109300</v>
      </c>
      <c r="F76" s="66" t="n">
        <f aca="false">MAX(0,F75)*Terms!$D$19</f>
        <v>228900</v>
      </c>
      <c r="G76" s="16"/>
      <c r="H76" s="16"/>
      <c r="I76" s="8"/>
      <c r="J76" s="8"/>
      <c r="K76" s="8"/>
      <c r="L76" s="8"/>
      <c r="M76" s="8"/>
      <c r="N76" s="8"/>
      <c r="O76" s="8"/>
    </row>
    <row r="77" customFormat="false" ht="24.75" hidden="false" customHeight="true" outlineLevel="0" collapsed="false">
      <c r="A77" s="7"/>
      <c r="B77" s="7"/>
      <c r="C77" s="10" t="s">
        <v>412</v>
      </c>
      <c r="D77" s="14" t="n">
        <f aca="false">D75-D76</f>
        <v>33300</v>
      </c>
      <c r="E77" s="14" t="n">
        <f aca="false">E75-E76</f>
        <v>983700</v>
      </c>
      <c r="F77" s="14" t="n">
        <f aca="false">F75-F76</f>
        <v>2060100</v>
      </c>
      <c r="G77" s="16"/>
      <c r="H77" s="16"/>
      <c r="I77" s="8"/>
      <c r="J77" s="8"/>
      <c r="K77" s="8"/>
      <c r="L77" s="8"/>
      <c r="M77" s="8"/>
      <c r="N77" s="8"/>
      <c r="O77" s="8"/>
    </row>
    <row r="78" customFormat="false" ht="24.75" hidden="false" customHeight="true" outlineLevel="0" collapsed="false">
      <c r="A78" s="7"/>
      <c r="B78" s="7"/>
      <c r="C78" s="10" t="s">
        <v>413</v>
      </c>
      <c r="D78" s="66" t="n">
        <f aca="false">D70*Terms!$D$34</f>
        <v>510000</v>
      </c>
      <c r="E78" s="66" t="n">
        <f aca="false">E70*Terms!$D$34</f>
        <v>814000</v>
      </c>
      <c r="F78" s="66" t="n">
        <f aca="false">F70*Terms!$D$34</f>
        <v>1148000</v>
      </c>
      <c r="G78" s="16"/>
      <c r="H78" s="16"/>
      <c r="I78" s="8"/>
      <c r="J78" s="8"/>
      <c r="K78" s="8"/>
      <c r="L78" s="8"/>
      <c r="M78" s="8"/>
      <c r="N78" s="8"/>
      <c r="O78" s="8"/>
    </row>
    <row r="79" customFormat="false" ht="24.75" hidden="false" customHeight="true" outlineLevel="0" collapsed="false">
      <c r="A79" s="7"/>
      <c r="B79" s="7"/>
      <c r="C79" s="10" t="s">
        <v>414</v>
      </c>
      <c r="D79" s="14" t="n">
        <f aca="false">D78</f>
        <v>510000</v>
      </c>
      <c r="E79" s="14" t="n">
        <f aca="false">E78-D78</f>
        <v>304000</v>
      </c>
      <c r="F79" s="14" t="n">
        <f aca="false">F78-E78</f>
        <v>334000</v>
      </c>
      <c r="G79" s="16"/>
      <c r="H79" s="16"/>
      <c r="I79" s="8"/>
      <c r="J79" s="8"/>
      <c r="K79" s="8"/>
      <c r="L79" s="8"/>
      <c r="M79" s="8"/>
      <c r="N79" s="8"/>
      <c r="O79" s="8"/>
    </row>
    <row r="80" customFormat="false" ht="24.75" hidden="false" customHeight="true" outlineLevel="0" collapsed="false">
      <c r="A80" s="7"/>
      <c r="B80" s="7"/>
      <c r="C80" s="10" t="s">
        <v>415</v>
      </c>
      <c r="D80" s="66" t="n">
        <f aca="false">'App Inputs'!D33</f>
        <v>1560000</v>
      </c>
      <c r="E80" s="66" t="n">
        <f aca="false">'App Inputs'!E33</f>
        <v>150000</v>
      </c>
      <c r="F80" s="66" t="n">
        <f aca="false">'App Inputs'!F33</f>
        <v>200000</v>
      </c>
      <c r="G80" s="16"/>
      <c r="H80" s="16"/>
      <c r="I80" s="8"/>
      <c r="J80" s="8"/>
      <c r="K80" s="8"/>
      <c r="L80" s="8"/>
      <c r="M80" s="8"/>
      <c r="N80" s="8"/>
      <c r="O80" s="8"/>
    </row>
    <row r="81" customFormat="false" ht="24.75" hidden="false" customHeight="true" outlineLevel="0" collapsed="false">
      <c r="A81" s="7"/>
      <c r="B81" s="7"/>
      <c r="C81" s="10" t="s">
        <v>416</v>
      </c>
      <c r="D81" s="14" t="n">
        <f aca="false">D73-D76-D79-D80</f>
        <v>-1786700</v>
      </c>
      <c r="E81" s="14" t="n">
        <f aca="false">E73-E76-E79-E80</f>
        <v>879700</v>
      </c>
      <c r="F81" s="14" t="n">
        <f aca="false">F73-F76-F79-F80</f>
        <v>1976100</v>
      </c>
      <c r="G81" s="16"/>
      <c r="H81" s="16"/>
      <c r="I81" s="8"/>
      <c r="J81" s="8"/>
      <c r="K81" s="8"/>
      <c r="L81" s="8"/>
      <c r="M81" s="8"/>
      <c r="N81" s="8"/>
      <c r="O81" s="8"/>
    </row>
    <row r="82" customFormat="false" ht="24.75" hidden="false" customHeight="true" outlineLevel="0" collapsed="false">
      <c r="A82" s="7"/>
      <c r="B82" s="7"/>
      <c r="C82" s="10" t="s">
        <v>417</v>
      </c>
      <c r="D82" s="66" t="n">
        <f aca="false">SUMIFS(Funding!$G$6:$G$8,Funding!$C$6:$C$8,"&lt;="&amp;DATE(2027,12,31))</f>
        <v>5000000</v>
      </c>
      <c r="E82" s="14" t="n">
        <f aca="false">D85+SUMIFS(Funding!$G$6:$G$8,Funding!$C$6:$C$8,"&gt;="&amp;DATE(2028,1,1),Funding!$C$6:$C$8,"&lt;="&amp;DATE(2028,12,31))</f>
        <v>3213300</v>
      </c>
      <c r="F82" s="14" t="n">
        <f aca="false">E85+SUMIFS(Funding!$G$6:$G$8,Funding!$C$6:$C$8,"&gt;="&amp;DATE(2029,1,1),Funding!$C$6:$C$8,"&lt;="&amp;DATE(2029,12,31))</f>
        <v>3601150</v>
      </c>
      <c r="G82" s="16"/>
      <c r="H82" s="16"/>
      <c r="I82" s="8"/>
      <c r="J82" s="8"/>
      <c r="K82" s="8"/>
      <c r="L82" s="8"/>
      <c r="M82" s="8"/>
      <c r="N82" s="8"/>
      <c r="O82" s="8"/>
    </row>
    <row r="83" customFormat="false" ht="24.75" hidden="false" customHeight="true" outlineLevel="0" collapsed="false">
      <c r="A83" s="7"/>
      <c r="B83" s="7"/>
      <c r="C83" s="10" t="s">
        <v>418</v>
      </c>
      <c r="D83" s="66" t="n">
        <f aca="false">'App Inputs'!$D$38</f>
        <v>750000</v>
      </c>
      <c r="E83" s="66" t="n">
        <f aca="false">'App Inputs'!$D$38</f>
        <v>750000</v>
      </c>
      <c r="F83" s="66" t="n">
        <f aca="false">'App Inputs'!$D$38</f>
        <v>750000</v>
      </c>
      <c r="G83" s="16"/>
      <c r="H83" s="16"/>
      <c r="I83" s="8"/>
      <c r="J83" s="8"/>
      <c r="K83" s="8"/>
      <c r="L83" s="8"/>
      <c r="M83" s="8"/>
      <c r="N83" s="8"/>
      <c r="O83" s="8"/>
    </row>
    <row r="84" customFormat="false" ht="24.75" hidden="false" customHeight="true" outlineLevel="0" collapsed="false">
      <c r="A84" s="7"/>
      <c r="B84" s="7"/>
      <c r="C84" s="10" t="s">
        <v>204</v>
      </c>
      <c r="D84" s="14" t="n">
        <f aca="false">0</f>
        <v>0</v>
      </c>
      <c r="E84" s="66" t="n">
        <f aca="false">MAX(0,MIN(MAX(0,E77)*Terms!$D$20,E82+E81-E83))</f>
        <v>491850</v>
      </c>
      <c r="F84" s="66" t="n">
        <f aca="false">MAX(0,MIN(MAX(0,F77)*Terms!$D$20,F82+F81-F83))</f>
        <v>1030050</v>
      </c>
      <c r="G84" s="16"/>
      <c r="H84" s="16"/>
      <c r="I84" s="8"/>
      <c r="J84" s="8"/>
      <c r="K84" s="8"/>
      <c r="L84" s="8"/>
      <c r="M84" s="8"/>
      <c r="N84" s="8"/>
      <c r="O84" s="8"/>
    </row>
    <row r="85" customFormat="false" ht="24.75" hidden="false" customHeight="true" outlineLevel="0" collapsed="false">
      <c r="A85" s="7"/>
      <c r="B85" s="7"/>
      <c r="C85" s="10" t="s">
        <v>419</v>
      </c>
      <c r="D85" s="14" t="n">
        <f aca="false">SUM(D82,D81)-D84</f>
        <v>3213300</v>
      </c>
      <c r="E85" s="14" t="n">
        <f aca="false">SUM(E82,E81)-E84</f>
        <v>3601150</v>
      </c>
      <c r="F85" s="14" t="n">
        <f aca="false">SUM(F82,F81)-F84</f>
        <v>4547200</v>
      </c>
      <c r="G85" s="16"/>
      <c r="H85" s="16"/>
      <c r="I85" s="8"/>
      <c r="J85" s="8"/>
      <c r="K85" s="8"/>
      <c r="L85" s="8"/>
      <c r="M85" s="8"/>
      <c r="N85" s="8"/>
      <c r="O85" s="8"/>
    </row>
    <row r="86" customFormat="false" ht="24.75" hidden="false" customHeight="true" outlineLevel="0" collapsed="false">
      <c r="A86" s="7"/>
      <c r="B86" s="7"/>
      <c r="C86" s="10" t="s">
        <v>420</v>
      </c>
      <c r="D86" s="66" t="n">
        <f aca="false">D84*Terms!$E$15</f>
        <v>0</v>
      </c>
      <c r="E86" s="66" t="n">
        <f aca="false">E84*Terms!$E$15</f>
        <v>147555</v>
      </c>
      <c r="F86" s="66" t="n">
        <f aca="false">F84*Terms!$E$15</f>
        <v>309015</v>
      </c>
      <c r="G86" s="16"/>
      <c r="H86" s="16"/>
      <c r="I86" s="8"/>
      <c r="J86" s="8"/>
      <c r="K86" s="8"/>
      <c r="L86" s="8"/>
      <c r="M86" s="8"/>
      <c r="N86" s="8"/>
      <c r="O86" s="8"/>
    </row>
    <row r="87" customFormat="false" ht="24.75" hidden="false" customHeight="true" outlineLevel="0" collapsed="false">
      <c r="A87" s="7"/>
      <c r="B87" s="7"/>
      <c r="C87" s="10" t="s">
        <v>421</v>
      </c>
      <c r="D87" s="67" t="n">
        <f aca="false">D86/Terms!$D$15</f>
        <v>0</v>
      </c>
      <c r="E87" s="67" t="n">
        <f aca="false">E86/Terms!$D$15</f>
        <v>0.029511</v>
      </c>
      <c r="F87" s="67" t="n">
        <f aca="false">F86/Terms!$D$15</f>
        <v>0.061803</v>
      </c>
      <c r="G87" s="16"/>
      <c r="H87" s="16"/>
      <c r="I87" s="8"/>
      <c r="J87" s="8"/>
      <c r="K87" s="8"/>
      <c r="L87" s="8"/>
      <c r="M87" s="8"/>
      <c r="N87" s="8"/>
      <c r="O87" s="8"/>
    </row>
    <row r="88" customFormat="false" ht="24.75" hidden="false" customHeight="true" outlineLevel="0" collapsed="false">
      <c r="A88" s="7"/>
      <c r="B88" s="7"/>
      <c r="C88" s="8"/>
      <c r="D88" s="16"/>
      <c r="E88" s="16"/>
      <c r="F88" s="16"/>
      <c r="G88" s="16"/>
      <c r="H88" s="16"/>
      <c r="I88" s="8"/>
      <c r="J88" s="8"/>
      <c r="K88" s="8"/>
      <c r="L88" s="8"/>
      <c r="M88" s="8"/>
      <c r="N88" s="8"/>
      <c r="O88" s="8"/>
    </row>
    <row r="89" customFormat="false" ht="24.75" hidden="false" customHeight="true" outlineLevel="0" collapsed="false">
      <c r="A89" s="7"/>
      <c r="B89" s="7"/>
      <c r="C89" s="8"/>
      <c r="D89" s="16"/>
      <c r="E89" s="16"/>
      <c r="F89" s="16"/>
      <c r="G89" s="16"/>
      <c r="H89" s="16"/>
      <c r="I89" s="8"/>
      <c r="J89" s="8"/>
      <c r="K89" s="8"/>
      <c r="L89" s="8"/>
      <c r="M89" s="8"/>
      <c r="N89" s="8"/>
      <c r="O89" s="8"/>
    </row>
    <row r="90" customFormat="false" ht="24.75" hidden="false" customHeight="true" outlineLevel="0" collapsed="false">
      <c r="A90" s="7"/>
      <c r="B90" s="7"/>
      <c r="C90" s="8"/>
      <c r="D90" s="16"/>
      <c r="E90" s="16"/>
      <c r="F90" s="16"/>
      <c r="G90" s="16"/>
      <c r="H90" s="16"/>
      <c r="I90" s="8"/>
      <c r="J90" s="8"/>
      <c r="K90" s="8"/>
      <c r="L90" s="8"/>
      <c r="M90" s="8"/>
      <c r="N90" s="8"/>
      <c r="O90" s="8"/>
    </row>
    <row r="91" customFormat="false" ht="30" hidden="false" customHeight="true" outlineLevel="0" collapsed="false">
      <c r="A91" s="7"/>
      <c r="B91" s="7"/>
      <c r="C91" s="12" t="s">
        <v>422</v>
      </c>
      <c r="D91" s="13" t="s">
        <v>372</v>
      </c>
      <c r="E91" s="13" t="s">
        <v>373</v>
      </c>
      <c r="F91" s="13" t="s">
        <v>374</v>
      </c>
      <c r="G91" s="16"/>
      <c r="H91" s="16"/>
      <c r="I91" s="8"/>
      <c r="J91" s="8"/>
      <c r="K91" s="8"/>
      <c r="L91" s="8"/>
      <c r="M91" s="8"/>
      <c r="N91" s="8"/>
      <c r="O91" s="8"/>
    </row>
    <row r="92" customFormat="false" ht="24.75" hidden="false" customHeight="true" outlineLevel="0" collapsed="false">
      <c r="A92" s="7"/>
      <c r="B92" s="7"/>
      <c r="C92" s="10" t="s">
        <v>406</v>
      </c>
      <c r="D92" s="14" t="n">
        <f aca="false">SUM(D22,D46,D70)</f>
        <v>8056000</v>
      </c>
      <c r="E92" s="14" t="n">
        <f aca="false">SUM(E22,E46,E70)</f>
        <v>13332000</v>
      </c>
      <c r="F92" s="14" t="n">
        <f aca="false">SUM(F22,F46,F70)</f>
        <v>19556000</v>
      </c>
      <c r="G92" s="16"/>
      <c r="H92" s="16"/>
      <c r="I92" s="8"/>
      <c r="J92" s="8"/>
      <c r="K92" s="8"/>
      <c r="L92" s="8"/>
      <c r="M92" s="8"/>
      <c r="N92" s="8"/>
      <c r="O92" s="8"/>
    </row>
    <row r="93" customFormat="false" ht="24.75" hidden="false" customHeight="true" outlineLevel="0" collapsed="false">
      <c r="A93" s="7"/>
      <c r="B93" s="7"/>
      <c r="C93" s="10" t="s">
        <v>408</v>
      </c>
      <c r="D93" s="14" t="n">
        <f aca="false">SUM(D25,D49,D73)</f>
        <v>517400</v>
      </c>
      <c r="E93" s="14" t="n">
        <f aca="false">SUM(E25,E49,E73)</f>
        <v>2775800</v>
      </c>
      <c r="F93" s="14" t="n">
        <f aca="false">SUM(F25,F49,F73)</f>
        <v>5459400</v>
      </c>
      <c r="G93" s="16"/>
      <c r="H93" s="16"/>
      <c r="I93" s="8"/>
      <c r="J93" s="8"/>
      <c r="K93" s="8"/>
      <c r="L93" s="8"/>
      <c r="M93" s="8"/>
      <c r="N93" s="8"/>
      <c r="O93" s="8"/>
    </row>
    <row r="94" customFormat="false" ht="24.75" hidden="false" customHeight="true" outlineLevel="0" collapsed="false">
      <c r="A94" s="7"/>
      <c r="B94" s="7"/>
      <c r="C94" s="10" t="s">
        <v>423</v>
      </c>
      <c r="D94" s="14" t="n">
        <f aca="false">SUM(D38,D62,D86)</f>
        <v>0</v>
      </c>
      <c r="E94" s="14" t="n">
        <f aca="false">SUM(E38,E62,E86)</f>
        <v>300483</v>
      </c>
      <c r="F94" s="14" t="n">
        <f aca="false">SUM(F38,F62,F86)</f>
        <v>642519</v>
      </c>
      <c r="G94" s="16"/>
      <c r="H94" s="16"/>
      <c r="I94" s="8"/>
      <c r="J94" s="8"/>
      <c r="K94" s="8"/>
      <c r="L94" s="8"/>
      <c r="M94" s="8"/>
      <c r="N94" s="8"/>
      <c r="O94" s="8"/>
    </row>
    <row r="95" customFormat="false" ht="24.75" hidden="false" customHeight="true" outlineLevel="0" collapsed="false">
      <c r="A95" s="7"/>
      <c r="B95" s="7"/>
      <c r="C95" s="8"/>
      <c r="D95" s="16"/>
      <c r="E95" s="16"/>
      <c r="F95" s="16"/>
      <c r="G95" s="16"/>
      <c r="H95" s="16"/>
      <c r="I95" s="8"/>
      <c r="J95" s="8"/>
      <c r="K95" s="8"/>
      <c r="L95" s="8"/>
      <c r="M95" s="8"/>
      <c r="N95" s="8"/>
      <c r="O95" s="8"/>
    </row>
    <row r="96" customFormat="false" ht="24.75" hidden="false" customHeight="true" outlineLevel="0" collapsed="false">
      <c r="A96" s="7"/>
      <c r="B96" s="7"/>
      <c r="C96" s="8"/>
      <c r="D96" s="16"/>
      <c r="E96" s="16"/>
      <c r="F96" s="16"/>
      <c r="G96" s="16"/>
      <c r="H96" s="16"/>
      <c r="I96" s="8"/>
      <c r="J96" s="8"/>
      <c r="K96" s="8"/>
      <c r="L96" s="8"/>
      <c r="M96" s="8"/>
      <c r="N96" s="8"/>
      <c r="O96" s="8"/>
    </row>
    <row r="97" customFormat="false" ht="24.75" hidden="false" customHeight="true" outlineLevel="0" collapsed="false">
      <c r="A97" s="7"/>
      <c r="B97" s="7"/>
      <c r="C97" s="8"/>
      <c r="D97" s="16"/>
      <c r="E97" s="16"/>
      <c r="F97" s="16"/>
      <c r="G97" s="16"/>
      <c r="H97" s="16"/>
      <c r="I97" s="8"/>
      <c r="J97" s="8"/>
      <c r="K97" s="8"/>
      <c r="L97" s="8"/>
      <c r="M97" s="8"/>
      <c r="N97" s="8"/>
      <c r="O97" s="8"/>
    </row>
    <row r="98" customFormat="false" ht="24.75" hidden="false" customHeight="true" outlineLevel="0" collapsed="false">
      <c r="A98" s="7"/>
      <c r="B98" s="7"/>
      <c r="C98" s="8"/>
      <c r="D98" s="16"/>
      <c r="E98" s="16"/>
      <c r="F98" s="16"/>
      <c r="G98" s="16"/>
      <c r="H98" s="16"/>
      <c r="I98" s="8"/>
      <c r="J98" s="8"/>
      <c r="K98" s="8"/>
      <c r="L98" s="8"/>
      <c r="M98" s="8"/>
      <c r="N98" s="8"/>
      <c r="O98" s="8"/>
    </row>
    <row r="99" customFormat="false" ht="24.75" hidden="false" customHeight="true" outlineLevel="0" collapsed="false">
      <c r="A99" s="7"/>
      <c r="B99" s="7"/>
      <c r="C99" s="8"/>
      <c r="D99" s="16"/>
      <c r="E99" s="16"/>
      <c r="F99" s="16"/>
      <c r="G99" s="16"/>
      <c r="H99" s="16"/>
      <c r="I99" s="8"/>
      <c r="J99" s="8"/>
      <c r="K99" s="8"/>
      <c r="L99" s="8"/>
      <c r="M99" s="8"/>
      <c r="N99" s="8"/>
      <c r="O99" s="8"/>
    </row>
    <row r="100" customFormat="false" ht="24.75" hidden="false" customHeight="true" outlineLevel="0" collapsed="false">
      <c r="A100" s="7"/>
      <c r="B100" s="7"/>
      <c r="C100" s="8"/>
      <c r="D100" s="16"/>
      <c r="E100" s="16"/>
      <c r="F100" s="16"/>
      <c r="G100" s="16"/>
      <c r="H100" s="16"/>
      <c r="I100" s="8"/>
      <c r="J100" s="8"/>
      <c r="K100" s="8"/>
      <c r="L100" s="8"/>
      <c r="M100" s="8"/>
      <c r="N100" s="8"/>
      <c r="O100" s="8"/>
    </row>
    <row r="101" customFormat="false" ht="24.75" hidden="false" customHeight="true" outlineLevel="0" collapsed="false">
      <c r="A101" s="7"/>
      <c r="B101" s="7"/>
      <c r="C101" s="8"/>
      <c r="D101" s="16"/>
      <c r="E101" s="16"/>
      <c r="F101" s="16"/>
      <c r="G101" s="16"/>
      <c r="H101" s="16"/>
      <c r="I101" s="8"/>
      <c r="J101" s="8"/>
      <c r="K101" s="8"/>
      <c r="L101" s="8"/>
      <c r="M101" s="8"/>
      <c r="N101" s="8"/>
      <c r="O101" s="8"/>
    </row>
    <row r="102" customFormat="false" ht="24.75" hidden="false" customHeight="true" outlineLevel="0" collapsed="false">
      <c r="A102" s="7"/>
      <c r="B102" s="7"/>
      <c r="C102" s="8"/>
      <c r="D102" s="16"/>
      <c r="E102" s="16"/>
      <c r="F102" s="16"/>
      <c r="G102" s="16"/>
      <c r="H102" s="16"/>
      <c r="I102" s="8"/>
      <c r="J102" s="8"/>
      <c r="K102" s="8"/>
      <c r="L102" s="8"/>
      <c r="M102" s="8"/>
      <c r="N102" s="8"/>
      <c r="O102" s="8"/>
    </row>
    <row r="103" customFormat="false" ht="24.75" hidden="false" customHeight="true" outlineLevel="0" collapsed="false">
      <c r="A103" s="7"/>
      <c r="B103" s="7"/>
      <c r="C103" s="8"/>
      <c r="D103" s="16"/>
      <c r="E103" s="16"/>
      <c r="F103" s="16"/>
      <c r="G103" s="16"/>
      <c r="H103" s="16"/>
      <c r="I103" s="8"/>
      <c r="J103" s="8"/>
      <c r="K103" s="8"/>
      <c r="L103" s="8"/>
      <c r="M103" s="8"/>
      <c r="N103" s="8"/>
      <c r="O103" s="8"/>
    </row>
    <row r="104" customFormat="false" ht="24.75" hidden="false" customHeight="true" outlineLevel="0" collapsed="false">
      <c r="A104" s="7"/>
      <c r="B104" s="7"/>
      <c r="C104" s="8"/>
      <c r="D104" s="16"/>
      <c r="E104" s="16"/>
      <c r="F104" s="16"/>
      <c r="G104" s="16"/>
      <c r="H104" s="16"/>
      <c r="I104" s="8"/>
      <c r="J104" s="8"/>
      <c r="K104" s="8"/>
      <c r="L104" s="8"/>
      <c r="M104" s="8"/>
      <c r="N104" s="8"/>
      <c r="O104" s="8"/>
    </row>
    <row r="105" customFormat="false" ht="24.75" hidden="false" customHeight="true" outlineLevel="0" collapsed="false">
      <c r="A105" s="7"/>
      <c r="B105" s="7"/>
      <c r="C105" s="8"/>
      <c r="D105" s="16"/>
      <c r="E105" s="16"/>
      <c r="F105" s="16"/>
      <c r="G105" s="16"/>
      <c r="H105" s="16"/>
      <c r="I105" s="8"/>
      <c r="J105" s="8"/>
      <c r="K105" s="8"/>
      <c r="L105" s="8"/>
      <c r="M105" s="8"/>
      <c r="N105" s="8"/>
      <c r="O105" s="8"/>
    </row>
    <row r="106" customFormat="false" ht="24.75" hidden="false" customHeight="true" outlineLevel="0" collapsed="false">
      <c r="A106" s="7"/>
      <c r="B106" s="7"/>
      <c r="C106" s="8"/>
      <c r="D106" s="16"/>
      <c r="E106" s="16"/>
      <c r="F106" s="16"/>
      <c r="G106" s="16"/>
      <c r="H106" s="16"/>
      <c r="I106" s="8"/>
      <c r="J106" s="8"/>
      <c r="K106" s="8"/>
      <c r="L106" s="8"/>
      <c r="M106" s="8"/>
      <c r="N106" s="8"/>
      <c r="O106" s="8"/>
    </row>
    <row r="107" customFormat="false" ht="24.75" hidden="false" customHeight="true" outlineLevel="0" collapsed="false">
      <c r="A107" s="7"/>
      <c r="B107" s="7"/>
      <c r="C107" s="8"/>
      <c r="D107" s="16"/>
      <c r="E107" s="16"/>
      <c r="F107" s="16"/>
      <c r="G107" s="16"/>
      <c r="H107" s="16"/>
      <c r="I107" s="8"/>
      <c r="J107" s="8"/>
      <c r="K107" s="8"/>
      <c r="L107" s="8"/>
      <c r="M107" s="8"/>
      <c r="N107" s="8"/>
      <c r="O107" s="8"/>
    </row>
    <row r="108" customFormat="false" ht="24.75" hidden="false" customHeight="true" outlineLevel="0" collapsed="false">
      <c r="A108" s="7"/>
      <c r="B108" s="7"/>
      <c r="C108" s="8"/>
      <c r="D108" s="16"/>
      <c r="E108" s="16"/>
      <c r="F108" s="16"/>
      <c r="G108" s="16"/>
      <c r="H108" s="16"/>
      <c r="I108" s="8"/>
      <c r="J108" s="8"/>
      <c r="K108" s="8"/>
      <c r="L108" s="8"/>
      <c r="M108" s="8"/>
      <c r="N108" s="8"/>
      <c r="O108" s="8"/>
    </row>
    <row r="109" customFormat="false" ht="24.75" hidden="false" customHeight="true" outlineLevel="0" collapsed="false">
      <c r="A109" s="7"/>
      <c r="B109" s="7"/>
      <c r="C109" s="8"/>
      <c r="D109" s="16"/>
      <c r="E109" s="16"/>
      <c r="F109" s="16"/>
      <c r="G109" s="16"/>
      <c r="H109" s="16"/>
      <c r="I109" s="8"/>
      <c r="J109" s="8"/>
      <c r="K109" s="8"/>
      <c r="L109" s="8"/>
      <c r="M109" s="8"/>
      <c r="N109" s="8"/>
      <c r="O109" s="8"/>
    </row>
    <row r="110" customFormat="false" ht="24.75" hidden="false" customHeight="true" outlineLevel="0" collapsed="false">
      <c r="A110" s="7"/>
      <c r="B110" s="7"/>
      <c r="C110" s="8"/>
      <c r="D110" s="16"/>
      <c r="E110" s="16"/>
      <c r="F110" s="16"/>
      <c r="G110" s="16"/>
      <c r="H110" s="16"/>
      <c r="I110" s="8"/>
      <c r="J110" s="8"/>
      <c r="K110" s="8"/>
      <c r="L110" s="8"/>
      <c r="M110" s="8"/>
      <c r="N110" s="8"/>
      <c r="O110" s="8"/>
    </row>
    <row r="111" customFormat="false" ht="24.75" hidden="false" customHeight="true" outlineLevel="0" collapsed="false">
      <c r="A111" s="7"/>
      <c r="B111" s="7"/>
      <c r="C111" s="8"/>
      <c r="D111" s="16"/>
      <c r="E111" s="16"/>
      <c r="F111" s="16"/>
      <c r="G111" s="16"/>
      <c r="H111" s="16"/>
      <c r="I111" s="8"/>
      <c r="J111" s="8"/>
      <c r="K111" s="8"/>
      <c r="L111" s="8"/>
      <c r="M111" s="8"/>
      <c r="N111" s="8"/>
      <c r="O111" s="8"/>
    </row>
    <row r="112" customFormat="false" ht="24.75" hidden="false" customHeight="true" outlineLevel="0" collapsed="false">
      <c r="A112" s="7"/>
      <c r="B112" s="7"/>
      <c r="C112" s="8"/>
      <c r="D112" s="16"/>
      <c r="E112" s="16"/>
      <c r="F112" s="16"/>
      <c r="G112" s="16"/>
      <c r="H112" s="16"/>
      <c r="I112" s="8"/>
      <c r="J112" s="8"/>
      <c r="K112" s="8"/>
      <c r="L112" s="8"/>
      <c r="M112" s="8"/>
      <c r="N112" s="8"/>
      <c r="O112" s="8"/>
    </row>
    <row r="113" customFormat="false" ht="24.75" hidden="false" customHeight="true" outlineLevel="0" collapsed="false">
      <c r="A113" s="7"/>
      <c r="B113" s="7"/>
      <c r="C113" s="8"/>
      <c r="D113" s="16"/>
      <c r="E113" s="16"/>
      <c r="F113" s="16"/>
      <c r="G113" s="16"/>
      <c r="H113" s="16"/>
      <c r="I113" s="8"/>
      <c r="J113" s="8"/>
      <c r="K113" s="8"/>
      <c r="L113" s="8"/>
      <c r="M113" s="8"/>
      <c r="N113" s="8"/>
      <c r="O113" s="8"/>
    </row>
    <row r="114" customFormat="false" ht="24.75" hidden="false" customHeight="true" outlineLevel="0" collapsed="false">
      <c r="A114" s="7"/>
      <c r="B114" s="7"/>
      <c r="C114" s="8"/>
      <c r="D114" s="16"/>
      <c r="E114" s="16"/>
      <c r="F114" s="16"/>
      <c r="G114" s="16"/>
      <c r="H114" s="16"/>
      <c r="I114" s="8"/>
      <c r="J114" s="8"/>
      <c r="K114" s="8"/>
      <c r="L114" s="8"/>
      <c r="M114" s="8"/>
      <c r="N114" s="8"/>
      <c r="O114" s="8"/>
    </row>
    <row r="115" customFormat="false" ht="24.75" hidden="false" customHeight="true" outlineLevel="0" collapsed="false">
      <c r="A115" s="7"/>
      <c r="B115" s="7"/>
      <c r="C115" s="8"/>
      <c r="D115" s="16"/>
      <c r="E115" s="16"/>
      <c r="F115" s="16"/>
      <c r="G115" s="16"/>
      <c r="H115" s="16"/>
      <c r="I115" s="8"/>
      <c r="J115" s="8"/>
      <c r="K115" s="8"/>
      <c r="L115" s="8"/>
      <c r="M115" s="8"/>
      <c r="N115" s="8"/>
      <c r="O115" s="8"/>
    </row>
  </sheetData>
  <mergeCells count="1">
    <mergeCell ref="C2:H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1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1" width="3"/>
    <col collapsed="false" customWidth="true" hidden="false" outlineLevel="0" max="3" min="3" style="1" width="45"/>
    <col collapsed="false" customWidth="true" hidden="false" outlineLevel="0" max="8" min="4" style="1" width="18"/>
    <col collapsed="false" customWidth="true" hidden="false" outlineLevel="0" max="9" min="9" style="1" width="4"/>
    <col collapsed="false" customWidth="true" hidden="false" outlineLevel="0" max="15" min="10" style="1" width="15"/>
  </cols>
  <sheetData>
    <row r="1" customFormat="false" ht="15" hidden="false" customHeight="false" outlineLevel="0" collapsed="false">
      <c r="A1" s="7"/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customFormat="false" ht="36.75" hidden="false" customHeight="true" outlineLevel="0" collapsed="false">
      <c r="A2" s="7"/>
      <c r="B2" s="7"/>
      <c r="C2" s="9" t="s">
        <v>424</v>
      </c>
      <c r="D2" s="9"/>
      <c r="E2" s="9"/>
      <c r="F2" s="9"/>
      <c r="G2" s="9"/>
      <c r="H2" s="9"/>
      <c r="I2" s="8"/>
      <c r="J2" s="8"/>
      <c r="K2" s="8"/>
      <c r="L2" s="8"/>
      <c r="M2" s="8"/>
      <c r="N2" s="8"/>
      <c r="O2" s="8"/>
    </row>
    <row r="3" customFormat="false" ht="15" hidden="false" customHeight="false" outlineLevel="0" collapsed="false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customFormat="false" ht="24.75" hidden="false" customHeight="true" outlineLevel="0" collapsed="false">
      <c r="A4" s="7"/>
      <c r="B4" s="7"/>
      <c r="C4" s="8"/>
      <c r="D4" s="8"/>
      <c r="E4" s="8"/>
      <c r="F4" s="8"/>
      <c r="G4" s="8"/>
      <c r="H4" s="8"/>
      <c r="I4" s="8"/>
      <c r="J4" s="10" t="s">
        <v>39</v>
      </c>
      <c r="K4" s="11" t="str">
        <f aca="false">CHOOSE(Terms!D4,"متحفظ","أساسي","نمو")</f>
        <v>أساسي</v>
      </c>
      <c r="L4" s="8"/>
      <c r="M4" s="8"/>
      <c r="N4" s="8"/>
      <c r="O4" s="8"/>
    </row>
    <row r="5" customFormat="false" ht="30" hidden="false" customHeight="true" outlineLevel="0" collapsed="false">
      <c r="A5" s="7"/>
      <c r="B5" s="7"/>
      <c r="C5" s="12" t="s">
        <v>425</v>
      </c>
      <c r="D5" s="13" t="s">
        <v>426</v>
      </c>
      <c r="E5" s="13" t="s">
        <v>427</v>
      </c>
      <c r="F5" s="13" t="s">
        <v>428</v>
      </c>
      <c r="G5" s="16"/>
      <c r="H5" s="16"/>
      <c r="I5" s="8"/>
      <c r="J5" s="8"/>
      <c r="K5" s="8"/>
      <c r="L5" s="8"/>
      <c r="M5" s="8"/>
      <c r="N5" s="8"/>
      <c r="O5" s="8"/>
    </row>
    <row r="6" customFormat="false" ht="24.75" hidden="false" customHeight="true" outlineLevel="0" collapsed="false">
      <c r="A6" s="7"/>
      <c r="B6" s="7"/>
      <c r="C6" s="10" t="s">
        <v>429</v>
      </c>
      <c r="D6" s="66" t="n">
        <f aca="false">Sources!D6</f>
        <v>14678785.5450923</v>
      </c>
      <c r="E6" s="66" t="n">
        <f aca="false">Sources!E6</f>
        <v>25050457.1478261</v>
      </c>
      <c r="F6" s="66" t="n">
        <f aca="false">Sources!F6</f>
        <v>34469311.7872417</v>
      </c>
      <c r="G6" s="16"/>
      <c r="H6" s="16"/>
      <c r="I6" s="8"/>
      <c r="J6" s="8"/>
      <c r="K6" s="8"/>
      <c r="L6" s="8"/>
      <c r="M6" s="8"/>
      <c r="N6" s="8"/>
      <c r="O6" s="8"/>
    </row>
    <row r="7" customFormat="false" ht="24.75" hidden="false" customHeight="true" outlineLevel="0" collapsed="false">
      <c r="A7" s="7"/>
      <c r="B7" s="7"/>
      <c r="C7" s="10" t="s">
        <v>430</v>
      </c>
      <c r="D7" s="66" t="n">
        <f aca="false">Sources!D8</f>
        <v>4065302.09838365</v>
      </c>
      <c r="E7" s="66" t="n">
        <f aca="false">Sources!E8</f>
        <v>9402639.79843478</v>
      </c>
      <c r="F7" s="66" t="n">
        <f aca="false">Sources!F8</f>
        <v>15037648.2120589</v>
      </c>
      <c r="G7" s="16"/>
      <c r="H7" s="16"/>
      <c r="I7" s="8"/>
      <c r="J7" s="8"/>
      <c r="K7" s="8"/>
      <c r="L7" s="8"/>
      <c r="M7" s="8"/>
      <c r="N7" s="8"/>
      <c r="O7" s="8"/>
    </row>
    <row r="8" customFormat="false" ht="24.75" hidden="false" customHeight="true" outlineLevel="0" collapsed="false">
      <c r="A8" s="7"/>
      <c r="B8" s="7"/>
      <c r="C8" s="10" t="s">
        <v>431</v>
      </c>
      <c r="D8" s="66" t="n">
        <f aca="false">Sources!D10*Terms!$D$23</f>
        <v>109914</v>
      </c>
      <c r="E8" s="66" t="n">
        <f aca="false">Sources!E10*Terms!$D$23</f>
        <v>604768</v>
      </c>
      <c r="F8" s="66" t="n">
        <f aca="false">Sources!F10*Terms!$D$23</f>
        <v>1562254.56</v>
      </c>
      <c r="G8" s="16"/>
      <c r="H8" s="16"/>
      <c r="I8" s="8"/>
      <c r="J8" s="8"/>
      <c r="K8" s="8"/>
      <c r="L8" s="8"/>
      <c r="M8" s="8"/>
      <c r="N8" s="8"/>
      <c r="O8" s="8"/>
    </row>
    <row r="9" customFormat="false" ht="24.75" hidden="false" customHeight="true" outlineLevel="0" collapsed="false">
      <c r="A9" s="7"/>
      <c r="B9" s="7"/>
      <c r="C9" s="10" t="s">
        <v>432</v>
      </c>
      <c r="D9" s="66" t="n">
        <f aca="false">Sources!D11</f>
        <v>2290211.97711562</v>
      </c>
      <c r="E9" s="66" t="n">
        <f aca="false">Sources!E11</f>
        <v>2666336.52504348</v>
      </c>
      <c r="F9" s="66" t="n">
        <f aca="false">Sources!F11</f>
        <v>2919079.99517837</v>
      </c>
      <c r="G9" s="16"/>
      <c r="H9" s="16"/>
      <c r="I9" s="8"/>
      <c r="J9" s="8"/>
      <c r="K9" s="8"/>
      <c r="L9" s="8"/>
      <c r="M9" s="8"/>
      <c r="N9" s="8"/>
      <c r="O9" s="8"/>
    </row>
    <row r="10" customFormat="false" ht="24.75" hidden="false" customHeight="true" outlineLevel="0" collapsed="false">
      <c r="A10" s="7"/>
      <c r="B10" s="7"/>
      <c r="C10" s="10" t="s">
        <v>433</v>
      </c>
      <c r="D10" s="66" t="n">
        <f aca="false">MAX(0,D9)*Terms!$D$24</f>
        <v>458042.395423124</v>
      </c>
      <c r="E10" s="66" t="n">
        <f aca="false">MAX(0,E9)*Terms!$D$24</f>
        <v>533267.305008696</v>
      </c>
      <c r="F10" s="66" t="n">
        <f aca="false">MAX(0,F9)*Terms!$D$24</f>
        <v>583815.999035673</v>
      </c>
      <c r="G10" s="16"/>
      <c r="H10" s="16"/>
      <c r="I10" s="8"/>
      <c r="J10" s="8"/>
      <c r="K10" s="8"/>
      <c r="L10" s="8"/>
      <c r="M10" s="8"/>
      <c r="N10" s="8"/>
      <c r="O10" s="8"/>
    </row>
    <row r="11" customFormat="false" ht="24.75" hidden="false" customHeight="true" outlineLevel="0" collapsed="false">
      <c r="A11" s="7"/>
      <c r="B11" s="7"/>
      <c r="C11" s="10" t="s">
        <v>434</v>
      </c>
      <c r="D11" s="14" t="n">
        <f aca="false">D7-D8-D10</f>
        <v>3497345.70296052</v>
      </c>
      <c r="E11" s="14" t="n">
        <f aca="false">E7-E8-E10</f>
        <v>8264604.49342609</v>
      </c>
      <c r="F11" s="14" t="n">
        <f aca="false">F7-F8-F10</f>
        <v>12891577.6530232</v>
      </c>
      <c r="G11" s="16"/>
      <c r="H11" s="16"/>
      <c r="I11" s="8"/>
      <c r="J11" s="8"/>
      <c r="K11" s="8"/>
      <c r="L11" s="8"/>
      <c r="M11" s="8"/>
      <c r="N11" s="8"/>
      <c r="O11" s="8"/>
    </row>
    <row r="12" customFormat="false" ht="24.75" hidden="false" customHeight="true" outlineLevel="0" collapsed="false">
      <c r="A12" s="7"/>
      <c r="B12" s="7"/>
      <c r="C12" s="10" t="s">
        <v>435</v>
      </c>
      <c r="D12" s="66" t="n">
        <f aca="false">MAX(0,D11)*Terms!$D$22</f>
        <v>699469.140592105</v>
      </c>
      <c r="E12" s="66" t="n">
        <f aca="false">MAX(0,E11)*Terms!$D$22</f>
        <v>1652920.89868522</v>
      </c>
      <c r="F12" s="66" t="n">
        <f aca="false">MAX(0,F11)*Terms!$D$22</f>
        <v>2578315.53060464</v>
      </c>
      <c r="G12" s="16"/>
      <c r="H12" s="16"/>
      <c r="I12" s="8"/>
      <c r="J12" s="8"/>
      <c r="K12" s="8"/>
      <c r="L12" s="8"/>
      <c r="M12" s="8"/>
      <c r="N12" s="8"/>
      <c r="O12" s="8"/>
    </row>
    <row r="13" customFormat="false" ht="24.75" hidden="false" customHeight="true" outlineLevel="0" collapsed="false">
      <c r="A13" s="7"/>
      <c r="B13" s="7"/>
      <c r="C13" s="10" t="s">
        <v>436</v>
      </c>
      <c r="D13" s="14" t="n">
        <f aca="false">D11-D12</f>
        <v>2797876.56236842</v>
      </c>
      <c r="E13" s="14" t="n">
        <f aca="false">E11-E12</f>
        <v>6611683.59474087</v>
      </c>
      <c r="F13" s="14" t="n">
        <f aca="false">F11-F12</f>
        <v>10313262.1224185</v>
      </c>
      <c r="G13" s="16"/>
      <c r="H13" s="16"/>
      <c r="I13" s="8"/>
      <c r="J13" s="8"/>
      <c r="K13" s="8"/>
      <c r="L13" s="8"/>
      <c r="M13" s="8"/>
      <c r="N13" s="8"/>
      <c r="O13" s="8"/>
    </row>
    <row r="14" customFormat="false" ht="24.75" hidden="false" customHeight="true" outlineLevel="0" collapsed="false">
      <c r="A14" s="7"/>
      <c r="B14" s="7"/>
      <c r="C14" s="10" t="s">
        <v>437</v>
      </c>
      <c r="D14" s="66" t="n">
        <f aca="false">MAX(0,D13)*Terms!$D$19</f>
        <v>279787.656236842</v>
      </c>
      <c r="E14" s="66" t="n">
        <f aca="false">MAX(0,E13)*Terms!$D$19</f>
        <v>661168.359474087</v>
      </c>
      <c r="F14" s="66" t="n">
        <f aca="false">MAX(0,F13)*Terms!$D$19</f>
        <v>1031326.21224185</v>
      </c>
      <c r="G14" s="16"/>
      <c r="H14" s="16"/>
      <c r="I14" s="8"/>
      <c r="J14" s="8"/>
      <c r="K14" s="8"/>
      <c r="L14" s="8"/>
      <c r="M14" s="8"/>
      <c r="N14" s="8"/>
      <c r="O14" s="8"/>
    </row>
    <row r="15" customFormat="false" ht="24.75" hidden="false" customHeight="true" outlineLevel="0" collapsed="false">
      <c r="A15" s="7"/>
      <c r="B15" s="7"/>
      <c r="C15" s="10" t="s">
        <v>438</v>
      </c>
      <c r="D15" s="14" t="n">
        <f aca="false">D13-D14</f>
        <v>2518088.90613158</v>
      </c>
      <c r="E15" s="14" t="n">
        <f aca="false">E13-E14</f>
        <v>5950515.23526678</v>
      </c>
      <c r="F15" s="14" t="n">
        <f aca="false">F13-F14</f>
        <v>9281935.91017669</v>
      </c>
      <c r="G15" s="16"/>
      <c r="H15" s="16"/>
      <c r="I15" s="8"/>
      <c r="J15" s="8"/>
      <c r="K15" s="8"/>
      <c r="L15" s="8"/>
      <c r="M15" s="8"/>
      <c r="N15" s="8"/>
      <c r="O15" s="8"/>
    </row>
    <row r="16" customFormat="false" ht="24.75" hidden="false" customHeight="true" outlineLevel="0" collapsed="false">
      <c r="A16" s="7"/>
      <c r="B16" s="7"/>
      <c r="C16" s="8"/>
      <c r="D16" s="16"/>
      <c r="E16" s="16"/>
      <c r="F16" s="16"/>
      <c r="G16" s="16"/>
      <c r="H16" s="16"/>
      <c r="I16" s="8"/>
      <c r="J16" s="8"/>
      <c r="K16" s="8"/>
      <c r="L16" s="8"/>
      <c r="M16" s="8"/>
      <c r="N16" s="8"/>
      <c r="O16" s="8"/>
    </row>
    <row r="17" customFormat="false" ht="24.75" hidden="false" customHeight="true" outlineLevel="0" collapsed="false">
      <c r="A17" s="7"/>
      <c r="B17" s="7"/>
      <c r="C17" s="10" t="s">
        <v>439</v>
      </c>
      <c r="D17" s="66" t="n">
        <f aca="false">Sources!D9</f>
        <v>139404.421872183</v>
      </c>
      <c r="E17" s="66" t="n">
        <f aca="false">Sources!E9</f>
        <v>9822820.62385484</v>
      </c>
      <c r="F17" s="66" t="n">
        <f aca="false">Sources!F9</f>
        <v>14953348.7754872</v>
      </c>
      <c r="G17" s="16"/>
      <c r="H17" s="16"/>
      <c r="I17" s="8"/>
      <c r="J17" s="8"/>
      <c r="K17" s="8"/>
      <c r="L17" s="8"/>
      <c r="M17" s="8"/>
      <c r="N17" s="8"/>
      <c r="O17" s="8"/>
    </row>
    <row r="18" customFormat="false" ht="24.75" hidden="false" customHeight="true" outlineLevel="0" collapsed="false">
      <c r="A18" s="7"/>
      <c r="B18" s="7"/>
      <c r="C18" s="10" t="s">
        <v>440</v>
      </c>
      <c r="D18" s="66" t="n">
        <f aca="false">D17-(D17+Sources!D12)*Terms!$D$22</f>
        <v>-704476.462502254</v>
      </c>
      <c r="E18" s="66" t="n">
        <f aca="false">E17-(E17+Sources!E12)*Terms!$D$22</f>
        <v>7841936.49908388</v>
      </c>
      <c r="F18" s="66" t="n">
        <f aca="false">F17-(F17+Sources!F12)*Terms!$D$22</f>
        <v>11938199.0203898</v>
      </c>
      <c r="G18" s="16"/>
      <c r="H18" s="16"/>
      <c r="I18" s="8"/>
      <c r="J18" s="8"/>
      <c r="K18" s="8"/>
      <c r="L18" s="8"/>
      <c r="M18" s="8"/>
      <c r="N18" s="8"/>
      <c r="O18" s="8"/>
    </row>
    <row r="19" customFormat="false" ht="24.75" hidden="false" customHeight="true" outlineLevel="0" collapsed="false">
      <c r="A19" s="7"/>
      <c r="B19" s="7"/>
      <c r="C19" s="10" t="s">
        <v>441</v>
      </c>
      <c r="D19" s="66" t="n">
        <f aca="false">Terms!D27</f>
        <v>1500000</v>
      </c>
      <c r="E19" s="66" t="n">
        <f aca="false">Terms!D28</f>
        <v>0</v>
      </c>
      <c r="F19" s="66" t="n">
        <f aca="false">Terms!D29</f>
        <v>0</v>
      </c>
      <c r="G19" s="16"/>
      <c r="H19" s="16"/>
      <c r="I19" s="8"/>
      <c r="J19" s="8"/>
      <c r="K19" s="8"/>
      <c r="L19" s="8"/>
      <c r="M19" s="8"/>
      <c r="N19" s="8"/>
      <c r="O19" s="8"/>
    </row>
    <row r="20" customFormat="false" ht="24.75" hidden="false" customHeight="true" outlineLevel="0" collapsed="false">
      <c r="A20" s="7"/>
      <c r="B20" s="7"/>
      <c r="C20" s="10" t="s">
        <v>442</v>
      </c>
      <c r="D20" s="14" t="n">
        <f aca="false">D18-D19-D10-D14</f>
        <v>-2942306.51416222</v>
      </c>
      <c r="E20" s="14" t="n">
        <f aca="false">E18-E19-E10-E14</f>
        <v>6647500.83460109</v>
      </c>
      <c r="F20" s="14" t="n">
        <f aca="false">F18-F19-F10-F14</f>
        <v>10323056.8091122</v>
      </c>
      <c r="G20" s="16"/>
      <c r="H20" s="16"/>
      <c r="I20" s="8"/>
      <c r="J20" s="8"/>
      <c r="K20" s="8"/>
      <c r="L20" s="8"/>
      <c r="M20" s="8"/>
      <c r="N20" s="8"/>
      <c r="O20" s="8"/>
    </row>
    <row r="21" customFormat="false" ht="24.75" hidden="false" customHeight="true" outlineLevel="0" collapsed="false">
      <c r="A21" s="7"/>
      <c r="B21" s="7"/>
      <c r="C21" s="10" t="s">
        <v>443</v>
      </c>
      <c r="D21" s="14" t="n">
        <f aca="false">MAX(0,-D20)</f>
        <v>2942306.51416222</v>
      </c>
      <c r="E21" s="14" t="n">
        <f aca="false">MAX(0,-E20)</f>
        <v>0</v>
      </c>
      <c r="F21" s="14" t="n">
        <f aca="false">MAX(0,-F20)</f>
        <v>0</v>
      </c>
      <c r="G21" s="16"/>
      <c r="H21" s="16"/>
      <c r="I21" s="8"/>
      <c r="J21" s="8"/>
      <c r="K21" s="8"/>
      <c r="L21" s="8"/>
      <c r="M21" s="8"/>
      <c r="N21" s="8"/>
      <c r="O21" s="8"/>
    </row>
    <row r="22" customFormat="false" ht="24.75" hidden="false" customHeight="true" outlineLevel="0" collapsed="false">
      <c r="A22" s="7"/>
      <c r="B22" s="7"/>
      <c r="C22" s="10" t="s">
        <v>444</v>
      </c>
      <c r="D22" s="14" t="n">
        <f aca="false">'WOO Monthly'!M6</f>
        <v>0</v>
      </c>
      <c r="E22" s="14" t="n">
        <f aca="false">'WOO Monthly'!M18</f>
        <v>3445693.48583778</v>
      </c>
      <c r="F22" s="14" t="n">
        <f aca="false">'WOO Monthly'!M30</f>
        <v>7105696.70280548</v>
      </c>
      <c r="G22" s="16"/>
      <c r="H22" s="16"/>
      <c r="I22" s="8"/>
      <c r="J22" s="8"/>
      <c r="K22" s="8"/>
      <c r="L22" s="8"/>
      <c r="M22" s="8"/>
      <c r="N22" s="8"/>
      <c r="O22" s="8"/>
    </row>
    <row r="23" customFormat="false" ht="24.75" hidden="false" customHeight="true" outlineLevel="0" collapsed="false">
      <c r="A23" s="7"/>
      <c r="B23" s="7"/>
      <c r="C23" s="10" t="s">
        <v>445</v>
      </c>
      <c r="D23" s="14" t="n">
        <f aca="false">MAX(0,'WOO Monthly'!N17-Sources!$D$16-'WOO Monthly'!R17)</f>
        <v>1466639.79057462</v>
      </c>
      <c r="E23" s="14" t="n">
        <f aca="false">MAX(0,'WOO Monthly'!N29-Sources!$D$16-'WOO Monthly'!R29)</f>
        <v>6864793.89710554</v>
      </c>
      <c r="F23" s="14" t="n">
        <f aca="false">MAX(0,'WOO Monthly'!N41-Sources!$D$16-'WOO Monthly'!R41)</f>
        <v>11386914.7719177</v>
      </c>
      <c r="G23" s="16"/>
      <c r="H23" s="16"/>
      <c r="I23" s="8"/>
      <c r="J23" s="8"/>
      <c r="K23" s="8"/>
      <c r="L23" s="8"/>
      <c r="M23" s="8"/>
      <c r="N23" s="8"/>
      <c r="O23" s="8"/>
    </row>
    <row r="24" customFormat="false" ht="24.75" hidden="false" customHeight="true" outlineLevel="0" collapsed="false">
      <c r="A24" s="7"/>
      <c r="B24" s="7"/>
      <c r="C24" s="10" t="s">
        <v>204</v>
      </c>
      <c r="D24" s="66" t="n">
        <f aca="false">SUM('WOO Monthly'!O6:O17)</f>
        <v>0</v>
      </c>
      <c r="E24" s="66" t="n">
        <f aca="false">SUM('WOO Monthly'!O18:O29)</f>
        <v>2975257.61763339</v>
      </c>
      <c r="F24" s="66" t="n">
        <f aca="false">SUM('WOO Monthly'!O30:O41)</f>
        <v>4640967.95508834</v>
      </c>
      <c r="G24" s="16"/>
      <c r="H24" s="16"/>
      <c r="I24" s="8"/>
      <c r="J24" s="8"/>
      <c r="K24" s="8"/>
      <c r="L24" s="8"/>
      <c r="M24" s="8"/>
      <c r="N24" s="8"/>
      <c r="O24" s="8"/>
    </row>
    <row r="25" customFormat="false" ht="24.75" hidden="false" customHeight="true" outlineLevel="0" collapsed="false">
      <c r="A25" s="7"/>
      <c r="B25" s="7"/>
      <c r="C25" s="10" t="s">
        <v>446</v>
      </c>
      <c r="D25" s="14" t="n">
        <f aca="false">'WOO Monthly'!P17</f>
        <v>3445693.48583778</v>
      </c>
      <c r="E25" s="14" t="n">
        <f aca="false">'WOO Monthly'!P29</f>
        <v>7105696.70280548</v>
      </c>
      <c r="F25" s="14" t="n">
        <f aca="false">'WOO Monthly'!P41</f>
        <v>12769425.5568294</v>
      </c>
      <c r="G25" s="16"/>
      <c r="H25" s="16"/>
      <c r="I25" s="8"/>
      <c r="J25" s="8"/>
      <c r="K25" s="8"/>
      <c r="L25" s="8"/>
      <c r="M25" s="8"/>
      <c r="N25" s="8"/>
      <c r="O25" s="8"/>
    </row>
    <row r="26" customFormat="false" ht="24.75" hidden="false" customHeight="true" outlineLevel="0" collapsed="false">
      <c r="A26" s="7"/>
      <c r="B26" s="7"/>
      <c r="C26" s="8"/>
      <c r="D26" s="16"/>
      <c r="E26" s="16"/>
      <c r="F26" s="16"/>
      <c r="G26" s="16"/>
      <c r="H26" s="16"/>
      <c r="I26" s="8"/>
      <c r="J26" s="8"/>
      <c r="K26" s="8"/>
      <c r="L26" s="8"/>
      <c r="M26" s="8"/>
      <c r="N26" s="8"/>
      <c r="O26" s="8"/>
    </row>
    <row r="27" customFormat="false" ht="24.75" hidden="false" customHeight="true" outlineLevel="0" collapsed="false">
      <c r="A27" s="7"/>
      <c r="B27" s="7"/>
      <c r="C27" s="10" t="s">
        <v>447</v>
      </c>
      <c r="D27" s="66" t="n">
        <f aca="false">D24*Terms!$E$16</f>
        <v>0</v>
      </c>
      <c r="E27" s="66" t="n">
        <f aca="false">E24*Terms!$E$16</f>
        <v>892577.285290017</v>
      </c>
      <c r="F27" s="66" t="n">
        <f aca="false">F24*Terms!$E$16</f>
        <v>1392290.3865265</v>
      </c>
      <c r="G27" s="16"/>
      <c r="H27" s="16"/>
      <c r="I27" s="8"/>
      <c r="J27" s="8"/>
      <c r="K27" s="8"/>
      <c r="L27" s="8"/>
      <c r="M27" s="8"/>
      <c r="N27" s="8"/>
      <c r="O27" s="8"/>
    </row>
    <row r="28" customFormat="false" ht="24.75" hidden="false" customHeight="true" outlineLevel="0" collapsed="false">
      <c r="A28" s="7"/>
      <c r="B28" s="7"/>
      <c r="C28" s="10" t="s">
        <v>448</v>
      </c>
      <c r="D28" s="67" t="n">
        <f aca="false">D27/Terms!$D$16</f>
        <v>0</v>
      </c>
      <c r="E28" s="67" t="n">
        <f aca="false">E27/Terms!$D$16</f>
        <v>0.127511040755717</v>
      </c>
      <c r="F28" s="67" t="n">
        <f aca="false">F27/Terms!$D$16</f>
        <v>0.198898626646643</v>
      </c>
      <c r="G28" s="16"/>
      <c r="H28" s="16"/>
      <c r="I28" s="8"/>
      <c r="J28" s="8"/>
      <c r="K28" s="8"/>
      <c r="L28" s="8"/>
      <c r="M28" s="8"/>
      <c r="N28" s="8"/>
      <c r="O28" s="8"/>
    </row>
    <row r="29" customFormat="false" ht="24.75" hidden="false" customHeight="true" outlineLevel="0" collapsed="false">
      <c r="A29" s="7"/>
      <c r="B29" s="7"/>
      <c r="C29" s="8"/>
      <c r="D29" s="16"/>
      <c r="E29" s="16"/>
      <c r="F29" s="16"/>
      <c r="G29" s="16"/>
      <c r="H29" s="16"/>
      <c r="I29" s="8"/>
      <c r="J29" s="8"/>
      <c r="K29" s="8"/>
      <c r="L29" s="8"/>
      <c r="M29" s="8"/>
      <c r="N29" s="8"/>
      <c r="O29" s="8"/>
    </row>
    <row r="30" customFormat="false" ht="24.75" hidden="false" customHeight="true" outlineLevel="0" collapsed="false">
      <c r="A30" s="7"/>
      <c r="B30" s="7"/>
      <c r="C30" s="10" t="s">
        <v>449</v>
      </c>
      <c r="D30" s="66" t="n">
        <f aca="false">Sources!D7</f>
        <v>4625055.81062123</v>
      </c>
      <c r="E30" s="66" t="n">
        <f aca="false">Sources!E7</f>
        <v>10234959.7984348</v>
      </c>
      <c r="F30" s="66" t="n">
        <f aca="false">Sources!F7</f>
        <v>15894448.2120589</v>
      </c>
      <c r="G30" s="16"/>
      <c r="H30" s="16"/>
      <c r="I30" s="8"/>
      <c r="J30" s="8"/>
      <c r="K30" s="8"/>
      <c r="L30" s="8"/>
      <c r="M30" s="8"/>
      <c r="N30" s="8"/>
      <c r="O30" s="8"/>
    </row>
    <row r="31" customFormat="false" ht="24.75" hidden="false" customHeight="true" outlineLevel="0" collapsed="false">
      <c r="A31" s="7"/>
      <c r="B31" s="7"/>
      <c r="C31" s="10" t="s">
        <v>450</v>
      </c>
      <c r="D31" s="66" t="n">
        <f aca="false">(D30-D8-D10)*(1-Terms!$D$22)</f>
        <v>3245679.53215848</v>
      </c>
      <c r="E31" s="66" t="n">
        <f aca="false">(E30-E8-E10)*(1-Terms!$D$22)</f>
        <v>7277539.59474087</v>
      </c>
      <c r="F31" s="66" t="n">
        <f aca="false">(F30-F8-F10)*(1-Terms!$D$22)</f>
        <v>10998702.1224185</v>
      </c>
      <c r="G31" s="16"/>
      <c r="H31" s="16"/>
      <c r="I31" s="8"/>
      <c r="J31" s="8"/>
      <c r="K31" s="8"/>
      <c r="L31" s="8"/>
      <c r="M31" s="8"/>
      <c r="N31" s="8"/>
      <c r="O31" s="8"/>
    </row>
    <row r="32" customFormat="false" ht="24.75" hidden="false" customHeight="true" outlineLevel="0" collapsed="false">
      <c r="A32" s="7"/>
      <c r="B32" s="7"/>
      <c r="C32" s="8"/>
      <c r="D32" s="16"/>
      <c r="E32" s="16"/>
      <c r="F32" s="16"/>
      <c r="G32" s="16"/>
      <c r="H32" s="16"/>
      <c r="I32" s="8"/>
      <c r="J32" s="8"/>
      <c r="K32" s="8"/>
      <c r="L32" s="8"/>
      <c r="M32" s="8"/>
      <c r="N32" s="8"/>
      <c r="O32" s="8"/>
    </row>
    <row r="33" customFormat="false" ht="24.75" hidden="false" customHeight="true" outlineLevel="0" collapsed="false">
      <c r="A33" s="7"/>
      <c r="B33" s="7"/>
      <c r="C33" s="8"/>
      <c r="D33" s="16"/>
      <c r="E33" s="16"/>
      <c r="F33" s="16"/>
      <c r="G33" s="16"/>
      <c r="H33" s="16"/>
      <c r="I33" s="8"/>
      <c r="J33" s="8"/>
      <c r="K33" s="8"/>
      <c r="L33" s="8"/>
      <c r="M33" s="8"/>
      <c r="N33" s="8"/>
      <c r="O33" s="8"/>
    </row>
    <row r="34" customFormat="false" ht="39" hidden="false" customHeight="true" outlineLevel="0" collapsed="false">
      <c r="A34" s="7"/>
      <c r="B34" s="7"/>
      <c r="C34" s="23" t="s">
        <v>451</v>
      </c>
      <c r="D34" s="23"/>
      <c r="E34" s="23"/>
      <c r="F34" s="23"/>
      <c r="G34" s="23"/>
      <c r="H34" s="23"/>
      <c r="I34" s="8"/>
      <c r="J34" s="8"/>
      <c r="K34" s="8"/>
      <c r="L34" s="8"/>
      <c r="M34" s="8"/>
      <c r="N34" s="8"/>
      <c r="O34" s="8"/>
    </row>
    <row r="35" customFormat="false" ht="39" hidden="false" customHeight="true" outlineLevel="0" collapsed="false">
      <c r="A35" s="7"/>
      <c r="B35" s="7"/>
      <c r="C35" s="23" t="s">
        <v>452</v>
      </c>
      <c r="D35" s="23"/>
      <c r="E35" s="23"/>
      <c r="F35" s="23"/>
      <c r="G35" s="23"/>
      <c r="H35" s="23"/>
      <c r="I35" s="8"/>
      <c r="J35" s="8"/>
      <c r="K35" s="8"/>
      <c r="L35" s="8"/>
      <c r="M35" s="8"/>
      <c r="N35" s="8"/>
      <c r="O35" s="8"/>
    </row>
    <row r="36" customFormat="false" ht="39" hidden="false" customHeight="true" outlineLevel="0" collapsed="false">
      <c r="A36" s="7"/>
      <c r="B36" s="7"/>
      <c r="C36" s="23" t="s">
        <v>453</v>
      </c>
      <c r="D36" s="23"/>
      <c r="E36" s="23"/>
      <c r="F36" s="23"/>
      <c r="G36" s="23"/>
      <c r="H36" s="23"/>
      <c r="I36" s="8"/>
      <c r="J36" s="8"/>
      <c r="K36" s="8"/>
      <c r="L36" s="8"/>
      <c r="M36" s="8"/>
      <c r="N36" s="8"/>
      <c r="O36" s="8"/>
    </row>
    <row r="37" customFormat="false" ht="39" hidden="false" customHeight="true" outlineLevel="0" collapsed="false">
      <c r="A37" s="7"/>
      <c r="B37" s="7"/>
      <c r="C37" s="23" t="s">
        <v>454</v>
      </c>
      <c r="D37" s="23"/>
      <c r="E37" s="23"/>
      <c r="F37" s="23"/>
      <c r="G37" s="23"/>
      <c r="H37" s="23"/>
      <c r="I37" s="8"/>
      <c r="J37" s="8"/>
      <c r="K37" s="8"/>
      <c r="L37" s="8"/>
      <c r="M37" s="8"/>
      <c r="N37" s="8"/>
      <c r="O37" s="8"/>
    </row>
    <row r="38" customFormat="false" ht="39" hidden="false" customHeight="true" outlineLevel="0" collapsed="false">
      <c r="A38" s="7"/>
      <c r="B38" s="7"/>
      <c r="C38" s="23" t="s">
        <v>455</v>
      </c>
      <c r="D38" s="23"/>
      <c r="E38" s="23"/>
      <c r="F38" s="23"/>
      <c r="G38" s="23"/>
      <c r="H38" s="23"/>
      <c r="I38" s="8"/>
      <c r="J38" s="8"/>
      <c r="K38" s="8"/>
      <c r="L38" s="8"/>
      <c r="M38" s="8"/>
      <c r="N38" s="8"/>
      <c r="O38" s="8"/>
    </row>
    <row r="39" customFormat="false" ht="24.75" hidden="false" customHeight="true" outlineLevel="0" collapsed="false">
      <c r="A39" s="7"/>
      <c r="B39" s="7"/>
      <c r="C39" s="8"/>
      <c r="D39" s="16"/>
      <c r="E39" s="16"/>
      <c r="F39" s="16"/>
      <c r="G39" s="16"/>
      <c r="H39" s="16"/>
      <c r="I39" s="8"/>
      <c r="J39" s="8"/>
      <c r="K39" s="8"/>
      <c r="L39" s="8"/>
      <c r="M39" s="8"/>
      <c r="N39" s="8"/>
      <c r="O39" s="8"/>
    </row>
    <row r="40" customFormat="false" ht="24.75" hidden="false" customHeight="true" outlineLevel="0" collapsed="false">
      <c r="A40" s="7"/>
      <c r="B40" s="7"/>
      <c r="C40" s="8"/>
      <c r="D40" s="16"/>
      <c r="E40" s="16"/>
      <c r="F40" s="16"/>
      <c r="G40" s="16"/>
      <c r="H40" s="16"/>
      <c r="I40" s="8"/>
      <c r="J40" s="8"/>
      <c r="K40" s="8"/>
      <c r="L40" s="8"/>
      <c r="M40" s="8"/>
      <c r="N40" s="8"/>
      <c r="O40" s="8"/>
    </row>
    <row r="41" customFormat="false" ht="24.75" hidden="false" customHeight="true" outlineLevel="0" collapsed="false">
      <c r="A41" s="7"/>
      <c r="B41" s="7"/>
      <c r="C41" s="8"/>
      <c r="D41" s="16"/>
      <c r="E41" s="16"/>
      <c r="F41" s="16"/>
      <c r="G41" s="16"/>
      <c r="H41" s="16"/>
      <c r="I41" s="8"/>
      <c r="J41" s="8"/>
      <c r="K41" s="8"/>
      <c r="L41" s="8"/>
      <c r="M41" s="8"/>
      <c r="N41" s="8"/>
      <c r="O41" s="8"/>
    </row>
    <row r="42" customFormat="false" ht="24.75" hidden="false" customHeight="true" outlineLevel="0" collapsed="false">
      <c r="A42" s="7"/>
      <c r="B42" s="7"/>
      <c r="C42" s="8"/>
      <c r="D42" s="16"/>
      <c r="E42" s="16"/>
      <c r="F42" s="16"/>
      <c r="G42" s="16"/>
      <c r="H42" s="16"/>
      <c r="I42" s="8"/>
      <c r="J42" s="8"/>
      <c r="K42" s="8"/>
      <c r="L42" s="8"/>
      <c r="M42" s="8"/>
      <c r="N42" s="8"/>
      <c r="O42" s="8"/>
    </row>
    <row r="43" customFormat="false" ht="24.75" hidden="false" customHeight="true" outlineLevel="0" collapsed="false">
      <c r="A43" s="7"/>
      <c r="B43" s="7"/>
      <c r="C43" s="8"/>
      <c r="D43" s="16"/>
      <c r="E43" s="16"/>
      <c r="F43" s="16"/>
      <c r="G43" s="16"/>
      <c r="H43" s="16"/>
      <c r="I43" s="8"/>
      <c r="J43" s="8"/>
      <c r="K43" s="8"/>
      <c r="L43" s="8"/>
      <c r="M43" s="8"/>
      <c r="N43" s="8"/>
      <c r="O43" s="8"/>
    </row>
    <row r="44" customFormat="false" ht="24.75" hidden="false" customHeight="true" outlineLevel="0" collapsed="false">
      <c r="A44" s="7"/>
      <c r="B44" s="7"/>
      <c r="C44" s="8"/>
      <c r="D44" s="16"/>
      <c r="E44" s="16"/>
      <c r="F44" s="16"/>
      <c r="G44" s="16"/>
      <c r="H44" s="16"/>
      <c r="I44" s="8"/>
      <c r="J44" s="8"/>
      <c r="K44" s="8"/>
      <c r="L44" s="8"/>
      <c r="M44" s="8"/>
      <c r="N44" s="8"/>
      <c r="O44" s="8"/>
    </row>
    <row r="45" customFormat="false" ht="24.75" hidden="false" customHeight="true" outlineLevel="0" collapsed="false">
      <c r="A45" s="7"/>
      <c r="B45" s="7"/>
      <c r="C45" s="8"/>
      <c r="D45" s="16"/>
      <c r="E45" s="16"/>
      <c r="F45" s="16"/>
      <c r="G45" s="16"/>
      <c r="H45" s="16"/>
      <c r="I45" s="8"/>
      <c r="J45" s="8"/>
      <c r="K45" s="8"/>
      <c r="L45" s="8"/>
      <c r="M45" s="8"/>
      <c r="N45" s="8"/>
      <c r="O45" s="8"/>
    </row>
    <row r="46" customFormat="false" ht="24.75" hidden="false" customHeight="true" outlineLevel="0" collapsed="false">
      <c r="A46" s="7"/>
      <c r="B46" s="7"/>
      <c r="C46" s="8"/>
      <c r="D46" s="16"/>
      <c r="E46" s="16"/>
      <c r="F46" s="16"/>
      <c r="G46" s="16"/>
      <c r="H46" s="16"/>
      <c r="I46" s="8"/>
      <c r="J46" s="8"/>
      <c r="K46" s="8"/>
      <c r="L46" s="8"/>
      <c r="M46" s="8"/>
      <c r="N46" s="8"/>
      <c r="O46" s="8"/>
    </row>
    <row r="47" customFormat="false" ht="24.75" hidden="false" customHeight="true" outlineLevel="0" collapsed="false">
      <c r="A47" s="7"/>
      <c r="B47" s="7"/>
      <c r="C47" s="8"/>
      <c r="D47" s="16"/>
      <c r="E47" s="16"/>
      <c r="F47" s="16"/>
      <c r="G47" s="16"/>
      <c r="H47" s="16"/>
      <c r="I47" s="8"/>
      <c r="J47" s="8"/>
      <c r="K47" s="8"/>
      <c r="L47" s="8"/>
      <c r="M47" s="8"/>
      <c r="N47" s="8"/>
      <c r="O47" s="8"/>
    </row>
    <row r="48" customFormat="false" ht="24.75" hidden="false" customHeight="true" outlineLevel="0" collapsed="false">
      <c r="A48" s="7"/>
      <c r="B48" s="7"/>
      <c r="C48" s="8"/>
      <c r="D48" s="16"/>
      <c r="E48" s="16"/>
      <c r="F48" s="16"/>
      <c r="G48" s="16"/>
      <c r="H48" s="16"/>
      <c r="I48" s="8"/>
      <c r="J48" s="8"/>
      <c r="K48" s="8"/>
      <c r="L48" s="8"/>
      <c r="M48" s="8"/>
      <c r="N48" s="8"/>
      <c r="O48" s="8"/>
    </row>
    <row r="49" customFormat="false" ht="24.75" hidden="false" customHeight="true" outlineLevel="0" collapsed="false">
      <c r="A49" s="7"/>
      <c r="B49" s="7"/>
      <c r="C49" s="8"/>
      <c r="D49" s="16"/>
      <c r="E49" s="16"/>
      <c r="F49" s="16"/>
      <c r="G49" s="16"/>
      <c r="H49" s="16"/>
      <c r="I49" s="8"/>
      <c r="J49" s="8"/>
      <c r="K49" s="8"/>
      <c r="L49" s="8"/>
      <c r="M49" s="8"/>
      <c r="N49" s="8"/>
      <c r="O49" s="8"/>
    </row>
    <row r="50" customFormat="false" ht="24.75" hidden="false" customHeight="true" outlineLevel="0" collapsed="false">
      <c r="A50" s="7"/>
      <c r="B50" s="7"/>
      <c r="C50" s="8"/>
      <c r="D50" s="16"/>
      <c r="E50" s="16"/>
      <c r="F50" s="16"/>
      <c r="G50" s="16"/>
      <c r="H50" s="16"/>
      <c r="I50" s="8"/>
      <c r="J50" s="8"/>
      <c r="K50" s="8"/>
      <c r="L50" s="8"/>
      <c r="M50" s="8"/>
      <c r="N50" s="8"/>
      <c r="O50" s="8"/>
    </row>
    <row r="51" customFormat="false" ht="24.75" hidden="false" customHeight="true" outlineLevel="0" collapsed="false">
      <c r="A51" s="7"/>
      <c r="B51" s="7"/>
      <c r="C51" s="8"/>
      <c r="D51" s="16"/>
      <c r="E51" s="16"/>
      <c r="F51" s="16"/>
      <c r="G51" s="16"/>
      <c r="H51" s="16"/>
      <c r="I51" s="8"/>
      <c r="J51" s="8"/>
      <c r="K51" s="8"/>
      <c r="L51" s="8"/>
      <c r="M51" s="8"/>
      <c r="N51" s="8"/>
      <c r="O51" s="8"/>
    </row>
    <row r="52" customFormat="false" ht="24.75" hidden="false" customHeight="true" outlineLevel="0" collapsed="false">
      <c r="A52" s="7"/>
      <c r="B52" s="7"/>
      <c r="C52" s="8"/>
      <c r="D52" s="16"/>
      <c r="E52" s="16"/>
      <c r="F52" s="16"/>
      <c r="G52" s="16"/>
      <c r="H52" s="16"/>
      <c r="I52" s="8"/>
      <c r="J52" s="8"/>
      <c r="K52" s="8"/>
      <c r="L52" s="8"/>
      <c r="M52" s="8"/>
      <c r="N52" s="8"/>
      <c r="O52" s="8"/>
    </row>
    <row r="53" customFormat="false" ht="24.75" hidden="false" customHeight="true" outlineLevel="0" collapsed="false">
      <c r="A53" s="7"/>
      <c r="B53" s="7"/>
      <c r="C53" s="8"/>
      <c r="D53" s="16"/>
      <c r="E53" s="16"/>
      <c r="F53" s="16"/>
      <c r="G53" s="16"/>
      <c r="H53" s="16"/>
      <c r="I53" s="8"/>
      <c r="J53" s="8"/>
      <c r="K53" s="8"/>
      <c r="L53" s="8"/>
      <c r="M53" s="8"/>
      <c r="N53" s="8"/>
      <c r="O53" s="8"/>
    </row>
    <row r="54" customFormat="false" ht="24.75" hidden="false" customHeight="true" outlineLevel="0" collapsed="false">
      <c r="A54" s="7"/>
      <c r="B54" s="7"/>
      <c r="C54" s="8"/>
      <c r="D54" s="16"/>
      <c r="E54" s="16"/>
      <c r="F54" s="16"/>
      <c r="G54" s="16"/>
      <c r="H54" s="16"/>
      <c r="I54" s="8"/>
      <c r="J54" s="8"/>
      <c r="K54" s="8"/>
      <c r="L54" s="8"/>
      <c r="M54" s="8"/>
      <c r="N54" s="8"/>
      <c r="O54" s="8"/>
    </row>
    <row r="55" customFormat="false" ht="24.75" hidden="false" customHeight="true" outlineLevel="0" collapsed="false">
      <c r="A55" s="7"/>
      <c r="B55" s="7"/>
      <c r="C55" s="8"/>
      <c r="D55" s="16"/>
      <c r="E55" s="16"/>
      <c r="F55" s="16"/>
      <c r="G55" s="16"/>
      <c r="H55" s="16"/>
      <c r="I55" s="8"/>
      <c r="J55" s="8"/>
      <c r="K55" s="8"/>
      <c r="L55" s="8"/>
      <c r="M55" s="8"/>
      <c r="N55" s="8"/>
      <c r="O55" s="8"/>
    </row>
    <row r="56" customFormat="false" ht="24.75" hidden="false" customHeight="true" outlineLevel="0" collapsed="false">
      <c r="A56" s="7"/>
      <c r="B56" s="7"/>
      <c r="C56" s="8"/>
      <c r="D56" s="16"/>
      <c r="E56" s="16"/>
      <c r="F56" s="16"/>
      <c r="G56" s="16"/>
      <c r="H56" s="16"/>
      <c r="I56" s="8"/>
      <c r="J56" s="8"/>
      <c r="K56" s="8"/>
      <c r="L56" s="8"/>
      <c r="M56" s="8"/>
      <c r="N56" s="8"/>
      <c r="O56" s="8"/>
    </row>
    <row r="57" customFormat="false" ht="24.75" hidden="false" customHeight="true" outlineLevel="0" collapsed="false">
      <c r="A57" s="7"/>
      <c r="B57" s="7"/>
      <c r="C57" s="8"/>
      <c r="D57" s="16"/>
      <c r="E57" s="16"/>
      <c r="F57" s="16"/>
      <c r="G57" s="16"/>
      <c r="H57" s="16"/>
      <c r="I57" s="8"/>
      <c r="J57" s="8"/>
      <c r="K57" s="8"/>
      <c r="L57" s="8"/>
      <c r="M57" s="8"/>
      <c r="N57" s="8"/>
      <c r="O57" s="8"/>
    </row>
    <row r="58" customFormat="false" ht="24.75" hidden="false" customHeight="true" outlineLevel="0" collapsed="false">
      <c r="A58" s="7"/>
      <c r="B58" s="7"/>
      <c r="C58" s="8"/>
      <c r="D58" s="16"/>
      <c r="E58" s="16"/>
      <c r="F58" s="16"/>
      <c r="G58" s="16"/>
      <c r="H58" s="16"/>
      <c r="I58" s="8"/>
      <c r="J58" s="8"/>
      <c r="K58" s="8"/>
      <c r="L58" s="8"/>
      <c r="M58" s="8"/>
      <c r="N58" s="8"/>
      <c r="O58" s="8"/>
    </row>
    <row r="59" customFormat="false" ht="24.75" hidden="false" customHeight="true" outlineLevel="0" collapsed="false">
      <c r="A59" s="7"/>
      <c r="B59" s="7"/>
      <c r="C59" s="8"/>
      <c r="D59" s="16"/>
      <c r="E59" s="16"/>
      <c r="F59" s="16"/>
      <c r="G59" s="16"/>
      <c r="H59" s="16"/>
      <c r="I59" s="8"/>
      <c r="J59" s="8"/>
      <c r="K59" s="8"/>
      <c r="L59" s="8"/>
      <c r="M59" s="8"/>
      <c r="N59" s="8"/>
      <c r="O59" s="8"/>
    </row>
    <row r="60" customFormat="false" ht="24.75" hidden="false" customHeight="true" outlineLevel="0" collapsed="false">
      <c r="A60" s="7"/>
      <c r="B60" s="7"/>
      <c r="C60" s="8"/>
      <c r="D60" s="16"/>
      <c r="E60" s="16"/>
      <c r="F60" s="16"/>
      <c r="G60" s="16"/>
      <c r="H60" s="16"/>
      <c r="I60" s="8"/>
      <c r="J60" s="8"/>
      <c r="K60" s="8"/>
      <c r="L60" s="8"/>
      <c r="M60" s="8"/>
      <c r="N60" s="8"/>
      <c r="O60" s="8"/>
    </row>
    <row r="61" customFormat="false" ht="24.75" hidden="false" customHeight="true" outlineLevel="0" collapsed="false">
      <c r="A61" s="7"/>
      <c r="B61" s="7"/>
      <c r="C61" s="8"/>
      <c r="D61" s="16"/>
      <c r="E61" s="16"/>
      <c r="F61" s="16"/>
      <c r="G61" s="16"/>
      <c r="H61" s="16"/>
      <c r="I61" s="8"/>
      <c r="J61" s="8"/>
      <c r="K61" s="8"/>
      <c r="L61" s="8"/>
      <c r="M61" s="8"/>
      <c r="N61" s="8"/>
      <c r="O61" s="8"/>
    </row>
    <row r="62" customFormat="false" ht="24.75" hidden="false" customHeight="true" outlineLevel="0" collapsed="false">
      <c r="A62" s="7"/>
      <c r="B62" s="7"/>
      <c r="C62" s="8"/>
      <c r="D62" s="16"/>
      <c r="E62" s="16"/>
      <c r="F62" s="16"/>
      <c r="G62" s="16"/>
      <c r="H62" s="16"/>
      <c r="I62" s="8"/>
      <c r="J62" s="8"/>
      <c r="K62" s="8"/>
      <c r="L62" s="8"/>
      <c r="M62" s="8"/>
      <c r="N62" s="8"/>
      <c r="O62" s="8"/>
    </row>
    <row r="63" customFormat="false" ht="24.75" hidden="false" customHeight="true" outlineLevel="0" collapsed="false">
      <c r="A63" s="7"/>
      <c r="B63" s="7"/>
      <c r="C63" s="8"/>
      <c r="D63" s="16"/>
      <c r="E63" s="16"/>
      <c r="F63" s="16"/>
      <c r="G63" s="16"/>
      <c r="H63" s="16"/>
      <c r="I63" s="8"/>
      <c r="J63" s="8"/>
      <c r="K63" s="8"/>
      <c r="L63" s="8"/>
      <c r="M63" s="8"/>
      <c r="N63" s="8"/>
      <c r="O63" s="8"/>
    </row>
    <row r="64" customFormat="false" ht="24.75" hidden="false" customHeight="true" outlineLevel="0" collapsed="false">
      <c r="A64" s="7"/>
      <c r="B64" s="7"/>
      <c r="C64" s="8"/>
      <c r="D64" s="16"/>
      <c r="E64" s="16"/>
      <c r="F64" s="16"/>
      <c r="G64" s="16"/>
      <c r="H64" s="16"/>
      <c r="I64" s="8"/>
      <c r="J64" s="8"/>
      <c r="K64" s="8"/>
      <c r="L64" s="8"/>
      <c r="M64" s="8"/>
      <c r="N64" s="8"/>
      <c r="O64" s="8"/>
    </row>
    <row r="65" customFormat="false" ht="24.75" hidden="false" customHeight="true" outlineLevel="0" collapsed="false">
      <c r="A65" s="7"/>
      <c r="B65" s="7"/>
      <c r="C65" s="8"/>
      <c r="D65" s="16"/>
      <c r="E65" s="16"/>
      <c r="F65" s="16"/>
      <c r="G65" s="16"/>
      <c r="H65" s="16"/>
      <c r="I65" s="8"/>
      <c r="J65" s="8"/>
      <c r="K65" s="8"/>
      <c r="L65" s="8"/>
      <c r="M65" s="8"/>
      <c r="N65" s="8"/>
      <c r="O65" s="8"/>
    </row>
    <row r="66" customFormat="false" ht="24.75" hidden="false" customHeight="true" outlineLevel="0" collapsed="false">
      <c r="A66" s="7"/>
      <c r="B66" s="7"/>
      <c r="C66" s="8"/>
      <c r="D66" s="16"/>
      <c r="E66" s="16"/>
      <c r="F66" s="16"/>
      <c r="G66" s="16"/>
      <c r="H66" s="16"/>
      <c r="I66" s="8"/>
      <c r="J66" s="8"/>
      <c r="K66" s="8"/>
      <c r="L66" s="8"/>
      <c r="M66" s="8"/>
      <c r="N66" s="8"/>
      <c r="O66" s="8"/>
    </row>
    <row r="67" customFormat="false" ht="24.75" hidden="false" customHeight="true" outlineLevel="0" collapsed="false">
      <c r="A67" s="7"/>
      <c r="B67" s="7"/>
      <c r="C67" s="8"/>
      <c r="D67" s="16"/>
      <c r="E67" s="16"/>
      <c r="F67" s="16"/>
      <c r="G67" s="16"/>
      <c r="H67" s="16"/>
      <c r="I67" s="8"/>
      <c r="J67" s="8"/>
      <c r="K67" s="8"/>
      <c r="L67" s="8"/>
      <c r="M67" s="8"/>
      <c r="N67" s="8"/>
      <c r="O67" s="8"/>
    </row>
    <row r="68" customFormat="false" ht="24.75" hidden="false" customHeight="true" outlineLevel="0" collapsed="false">
      <c r="A68" s="7"/>
      <c r="B68" s="7"/>
      <c r="C68" s="8"/>
      <c r="D68" s="16"/>
      <c r="E68" s="16"/>
      <c r="F68" s="16"/>
      <c r="G68" s="16"/>
      <c r="H68" s="16"/>
      <c r="I68" s="8"/>
      <c r="J68" s="8"/>
      <c r="K68" s="8"/>
      <c r="L68" s="8"/>
      <c r="M68" s="8"/>
      <c r="N68" s="8"/>
      <c r="O68" s="8"/>
    </row>
    <row r="69" customFormat="false" ht="24.75" hidden="false" customHeight="true" outlineLevel="0" collapsed="false">
      <c r="A69" s="7"/>
      <c r="B69" s="7"/>
      <c r="C69" s="8"/>
      <c r="D69" s="16"/>
      <c r="E69" s="16"/>
      <c r="F69" s="16"/>
      <c r="G69" s="16"/>
      <c r="H69" s="16"/>
      <c r="I69" s="8"/>
      <c r="J69" s="8"/>
      <c r="K69" s="8"/>
      <c r="L69" s="8"/>
      <c r="M69" s="8"/>
      <c r="N69" s="8"/>
      <c r="O69" s="8"/>
    </row>
    <row r="70" customFormat="false" ht="24.75" hidden="false" customHeight="true" outlineLevel="0" collapsed="false">
      <c r="A70" s="7"/>
      <c r="B70" s="7"/>
      <c r="C70" s="8"/>
      <c r="D70" s="16"/>
      <c r="E70" s="16"/>
      <c r="F70" s="16"/>
      <c r="G70" s="16"/>
      <c r="H70" s="16"/>
      <c r="I70" s="8"/>
      <c r="J70" s="8"/>
      <c r="K70" s="8"/>
      <c r="L70" s="8"/>
      <c r="M70" s="8"/>
      <c r="N70" s="8"/>
      <c r="O70" s="8"/>
    </row>
    <row r="71" customFormat="false" ht="24.75" hidden="false" customHeight="true" outlineLevel="0" collapsed="false">
      <c r="A71" s="7"/>
      <c r="B71" s="7"/>
      <c r="C71" s="8"/>
      <c r="D71" s="16"/>
      <c r="E71" s="16"/>
      <c r="F71" s="16"/>
      <c r="G71" s="16"/>
      <c r="H71" s="16"/>
      <c r="I71" s="8"/>
      <c r="J71" s="8"/>
      <c r="K71" s="8"/>
      <c r="L71" s="8"/>
      <c r="M71" s="8"/>
      <c r="N71" s="8"/>
      <c r="O71" s="8"/>
    </row>
    <row r="72" customFormat="false" ht="24.75" hidden="false" customHeight="true" outlineLevel="0" collapsed="false">
      <c r="A72" s="7"/>
      <c r="B72" s="7"/>
      <c r="C72" s="8"/>
      <c r="D72" s="16"/>
      <c r="E72" s="16"/>
      <c r="F72" s="16"/>
      <c r="G72" s="16"/>
      <c r="H72" s="16"/>
      <c r="I72" s="8"/>
      <c r="J72" s="8"/>
      <c r="K72" s="8"/>
      <c r="L72" s="8"/>
      <c r="M72" s="8"/>
      <c r="N72" s="8"/>
      <c r="O72" s="8"/>
    </row>
    <row r="73" customFormat="false" ht="24.75" hidden="false" customHeight="true" outlineLevel="0" collapsed="false">
      <c r="A73" s="7"/>
      <c r="B73" s="7"/>
      <c r="C73" s="8"/>
      <c r="D73" s="16"/>
      <c r="E73" s="16"/>
      <c r="F73" s="16"/>
      <c r="G73" s="16"/>
      <c r="H73" s="16"/>
      <c r="I73" s="8"/>
      <c r="J73" s="8"/>
      <c r="K73" s="8"/>
      <c r="L73" s="8"/>
      <c r="M73" s="8"/>
      <c r="N73" s="8"/>
      <c r="O73" s="8"/>
    </row>
    <row r="74" customFormat="false" ht="24.75" hidden="false" customHeight="true" outlineLevel="0" collapsed="false">
      <c r="A74" s="7"/>
      <c r="B74" s="7"/>
      <c r="C74" s="8"/>
      <c r="D74" s="16"/>
      <c r="E74" s="16"/>
      <c r="F74" s="16"/>
      <c r="G74" s="16"/>
      <c r="H74" s="16"/>
      <c r="I74" s="8"/>
      <c r="J74" s="8"/>
      <c r="K74" s="8"/>
      <c r="L74" s="8"/>
      <c r="M74" s="8"/>
      <c r="N74" s="8"/>
      <c r="O74" s="8"/>
    </row>
    <row r="75" customFormat="false" ht="24.75" hidden="false" customHeight="true" outlineLevel="0" collapsed="false">
      <c r="A75" s="7"/>
      <c r="B75" s="7"/>
      <c r="C75" s="8"/>
      <c r="D75" s="16"/>
      <c r="E75" s="16"/>
      <c r="F75" s="16"/>
      <c r="G75" s="16"/>
      <c r="H75" s="16"/>
      <c r="I75" s="8"/>
      <c r="J75" s="8"/>
      <c r="K75" s="8"/>
      <c r="L75" s="8"/>
      <c r="M75" s="8"/>
      <c r="N75" s="8"/>
      <c r="O75" s="8"/>
    </row>
    <row r="76" customFormat="false" ht="24.75" hidden="false" customHeight="true" outlineLevel="0" collapsed="false">
      <c r="A76" s="7"/>
      <c r="B76" s="7"/>
      <c r="C76" s="8"/>
      <c r="D76" s="16"/>
      <c r="E76" s="16"/>
      <c r="F76" s="16"/>
      <c r="G76" s="16"/>
      <c r="H76" s="16"/>
      <c r="I76" s="8"/>
      <c r="J76" s="8"/>
      <c r="K76" s="8"/>
      <c r="L76" s="8"/>
      <c r="M76" s="8"/>
      <c r="N76" s="8"/>
      <c r="O76" s="8"/>
    </row>
    <row r="77" customFormat="false" ht="24.75" hidden="false" customHeight="true" outlineLevel="0" collapsed="false">
      <c r="A77" s="7"/>
      <c r="B77" s="7"/>
      <c r="C77" s="8"/>
      <c r="D77" s="16"/>
      <c r="E77" s="16"/>
      <c r="F77" s="16"/>
      <c r="G77" s="16"/>
      <c r="H77" s="16"/>
      <c r="I77" s="8"/>
      <c r="J77" s="8"/>
      <c r="K77" s="8"/>
      <c r="L77" s="8"/>
      <c r="M77" s="8"/>
      <c r="N77" s="8"/>
      <c r="O77" s="8"/>
    </row>
    <row r="78" customFormat="false" ht="24.75" hidden="false" customHeight="true" outlineLevel="0" collapsed="false">
      <c r="A78" s="7"/>
      <c r="B78" s="7"/>
      <c r="C78" s="8"/>
      <c r="D78" s="16"/>
      <c r="E78" s="16"/>
      <c r="F78" s="16"/>
      <c r="G78" s="16"/>
      <c r="H78" s="16"/>
      <c r="I78" s="8"/>
      <c r="J78" s="8"/>
      <c r="K78" s="8"/>
      <c r="L78" s="8"/>
      <c r="M78" s="8"/>
      <c r="N78" s="8"/>
      <c r="O78" s="8"/>
    </row>
    <row r="79" customFormat="false" ht="24.75" hidden="false" customHeight="true" outlineLevel="0" collapsed="false">
      <c r="A79" s="7"/>
      <c r="B79" s="7"/>
      <c r="C79" s="8"/>
      <c r="D79" s="16"/>
      <c r="E79" s="16"/>
      <c r="F79" s="16"/>
      <c r="G79" s="16"/>
      <c r="H79" s="16"/>
      <c r="I79" s="8"/>
      <c r="J79" s="8"/>
      <c r="K79" s="8"/>
      <c r="L79" s="8"/>
      <c r="M79" s="8"/>
      <c r="N79" s="8"/>
      <c r="O79" s="8"/>
    </row>
    <row r="80" customFormat="false" ht="24.75" hidden="false" customHeight="true" outlineLevel="0" collapsed="false">
      <c r="A80" s="7"/>
      <c r="B80" s="7"/>
      <c r="C80" s="8"/>
      <c r="D80" s="16"/>
      <c r="E80" s="16"/>
      <c r="F80" s="16"/>
      <c r="G80" s="16"/>
      <c r="H80" s="16"/>
      <c r="I80" s="8"/>
      <c r="J80" s="8"/>
      <c r="K80" s="8"/>
      <c r="L80" s="8"/>
      <c r="M80" s="8"/>
      <c r="N80" s="8"/>
      <c r="O80" s="8"/>
    </row>
    <row r="81" customFormat="false" ht="24.75" hidden="false" customHeight="true" outlineLevel="0" collapsed="false">
      <c r="A81" s="7"/>
      <c r="B81" s="7"/>
      <c r="C81" s="8"/>
      <c r="D81" s="16"/>
      <c r="E81" s="16"/>
      <c r="F81" s="16"/>
      <c r="G81" s="16"/>
      <c r="H81" s="16"/>
      <c r="I81" s="8"/>
      <c r="J81" s="8"/>
      <c r="K81" s="8"/>
      <c r="L81" s="8"/>
      <c r="M81" s="8"/>
      <c r="N81" s="8"/>
      <c r="O81" s="8"/>
    </row>
    <row r="82" customFormat="false" ht="24.75" hidden="false" customHeight="true" outlineLevel="0" collapsed="false">
      <c r="A82" s="7"/>
      <c r="B82" s="7"/>
      <c r="C82" s="8"/>
      <c r="D82" s="16"/>
      <c r="E82" s="16"/>
      <c r="F82" s="16"/>
      <c r="G82" s="16"/>
      <c r="H82" s="16"/>
      <c r="I82" s="8"/>
      <c r="J82" s="8"/>
      <c r="K82" s="8"/>
      <c r="L82" s="8"/>
      <c r="M82" s="8"/>
      <c r="N82" s="8"/>
      <c r="O82" s="8"/>
    </row>
    <row r="83" customFormat="false" ht="24.75" hidden="false" customHeight="true" outlineLevel="0" collapsed="false">
      <c r="A83" s="7"/>
      <c r="B83" s="7"/>
      <c r="C83" s="8"/>
      <c r="D83" s="16"/>
      <c r="E83" s="16"/>
      <c r="F83" s="16"/>
      <c r="G83" s="16"/>
      <c r="H83" s="16"/>
      <c r="I83" s="8"/>
      <c r="J83" s="8"/>
      <c r="K83" s="8"/>
      <c r="L83" s="8"/>
      <c r="M83" s="8"/>
      <c r="N83" s="8"/>
      <c r="O83" s="8"/>
    </row>
    <row r="84" customFormat="false" ht="24.75" hidden="false" customHeight="true" outlineLevel="0" collapsed="false">
      <c r="A84" s="7"/>
      <c r="B84" s="7"/>
      <c r="C84" s="8"/>
      <c r="D84" s="16"/>
      <c r="E84" s="16"/>
      <c r="F84" s="16"/>
      <c r="G84" s="16"/>
      <c r="H84" s="16"/>
      <c r="I84" s="8"/>
      <c r="J84" s="8"/>
      <c r="K84" s="8"/>
      <c r="L84" s="8"/>
      <c r="M84" s="8"/>
      <c r="N84" s="8"/>
      <c r="O84" s="8"/>
    </row>
    <row r="85" customFormat="false" ht="24.75" hidden="false" customHeight="true" outlineLevel="0" collapsed="false">
      <c r="A85" s="7"/>
      <c r="B85" s="7"/>
      <c r="C85" s="8"/>
      <c r="D85" s="16"/>
      <c r="E85" s="16"/>
      <c r="F85" s="16"/>
      <c r="G85" s="16"/>
      <c r="H85" s="16"/>
      <c r="I85" s="8"/>
      <c r="J85" s="8"/>
      <c r="K85" s="8"/>
      <c r="L85" s="8"/>
      <c r="M85" s="8"/>
      <c r="N85" s="8"/>
      <c r="O85" s="8"/>
    </row>
    <row r="86" customFormat="false" ht="24.75" hidden="false" customHeight="true" outlineLevel="0" collapsed="false">
      <c r="A86" s="7"/>
      <c r="B86" s="7"/>
      <c r="C86" s="8"/>
      <c r="D86" s="16"/>
      <c r="E86" s="16"/>
      <c r="F86" s="16"/>
      <c r="G86" s="16"/>
      <c r="H86" s="16"/>
      <c r="I86" s="8"/>
      <c r="J86" s="8"/>
      <c r="K86" s="8"/>
      <c r="L86" s="8"/>
      <c r="M86" s="8"/>
      <c r="N86" s="8"/>
      <c r="O86" s="8"/>
    </row>
    <row r="87" customFormat="false" ht="24.75" hidden="false" customHeight="true" outlineLevel="0" collapsed="false">
      <c r="A87" s="7"/>
      <c r="B87" s="7"/>
      <c r="C87" s="8"/>
      <c r="D87" s="16"/>
      <c r="E87" s="16"/>
      <c r="F87" s="16"/>
      <c r="G87" s="16"/>
      <c r="H87" s="16"/>
      <c r="I87" s="8"/>
      <c r="J87" s="8"/>
      <c r="K87" s="8"/>
      <c r="L87" s="8"/>
      <c r="M87" s="8"/>
      <c r="N87" s="8"/>
      <c r="O87" s="8"/>
    </row>
    <row r="88" customFormat="false" ht="24.75" hidden="false" customHeight="true" outlineLevel="0" collapsed="false">
      <c r="A88" s="7"/>
      <c r="B88" s="7"/>
      <c r="C88" s="8"/>
      <c r="D88" s="16"/>
      <c r="E88" s="16"/>
      <c r="F88" s="16"/>
      <c r="G88" s="16"/>
      <c r="H88" s="16"/>
      <c r="I88" s="8"/>
      <c r="J88" s="8"/>
      <c r="K88" s="8"/>
      <c r="L88" s="8"/>
      <c r="M88" s="8"/>
      <c r="N88" s="8"/>
      <c r="O88" s="8"/>
    </row>
    <row r="89" customFormat="false" ht="24.75" hidden="false" customHeight="true" outlineLevel="0" collapsed="false">
      <c r="A89" s="7"/>
      <c r="B89" s="7"/>
      <c r="C89" s="8"/>
      <c r="D89" s="16"/>
      <c r="E89" s="16"/>
      <c r="F89" s="16"/>
      <c r="G89" s="16"/>
      <c r="H89" s="16"/>
      <c r="I89" s="8"/>
      <c r="J89" s="8"/>
      <c r="K89" s="8"/>
      <c r="L89" s="8"/>
      <c r="M89" s="8"/>
      <c r="N89" s="8"/>
      <c r="O89" s="8"/>
    </row>
    <row r="90" customFormat="false" ht="24.75" hidden="false" customHeight="true" outlineLevel="0" collapsed="false">
      <c r="A90" s="7"/>
      <c r="B90" s="7"/>
      <c r="C90" s="8"/>
      <c r="D90" s="16"/>
      <c r="E90" s="16"/>
      <c r="F90" s="16"/>
      <c r="G90" s="16"/>
      <c r="H90" s="16"/>
      <c r="I90" s="8"/>
      <c r="J90" s="8"/>
      <c r="K90" s="8"/>
      <c r="L90" s="8"/>
      <c r="M90" s="8"/>
      <c r="N90" s="8"/>
      <c r="O90" s="8"/>
    </row>
    <row r="91" customFormat="false" ht="24.75" hidden="false" customHeight="true" outlineLevel="0" collapsed="false">
      <c r="A91" s="7"/>
      <c r="B91" s="7"/>
      <c r="C91" s="8"/>
      <c r="D91" s="16"/>
      <c r="E91" s="16"/>
      <c r="F91" s="16"/>
      <c r="G91" s="16"/>
      <c r="H91" s="16"/>
      <c r="I91" s="8"/>
      <c r="J91" s="8"/>
      <c r="K91" s="8"/>
      <c r="L91" s="8"/>
      <c r="M91" s="8"/>
      <c r="N91" s="8"/>
      <c r="O91" s="8"/>
    </row>
    <row r="92" customFormat="false" ht="24.75" hidden="false" customHeight="true" outlineLevel="0" collapsed="false">
      <c r="A92" s="7"/>
      <c r="B92" s="7"/>
      <c r="C92" s="8"/>
      <c r="D92" s="16"/>
      <c r="E92" s="16"/>
      <c r="F92" s="16"/>
      <c r="G92" s="16"/>
      <c r="H92" s="16"/>
      <c r="I92" s="8"/>
      <c r="J92" s="8"/>
      <c r="K92" s="8"/>
      <c r="L92" s="8"/>
      <c r="M92" s="8"/>
      <c r="N92" s="8"/>
      <c r="O92" s="8"/>
    </row>
    <row r="93" customFormat="false" ht="24.75" hidden="false" customHeight="true" outlineLevel="0" collapsed="false">
      <c r="A93" s="7"/>
      <c r="B93" s="7"/>
      <c r="C93" s="8"/>
      <c r="D93" s="16"/>
      <c r="E93" s="16"/>
      <c r="F93" s="16"/>
      <c r="G93" s="16"/>
      <c r="H93" s="16"/>
      <c r="I93" s="8"/>
      <c r="J93" s="8"/>
      <c r="K93" s="8"/>
      <c r="L93" s="8"/>
      <c r="M93" s="8"/>
      <c r="N93" s="8"/>
      <c r="O93" s="8"/>
    </row>
    <row r="94" customFormat="false" ht="24.75" hidden="false" customHeight="true" outlineLevel="0" collapsed="false">
      <c r="A94" s="7"/>
      <c r="B94" s="7"/>
      <c r="C94" s="8"/>
      <c r="D94" s="16"/>
      <c r="E94" s="16"/>
      <c r="F94" s="16"/>
      <c r="G94" s="16"/>
      <c r="H94" s="16"/>
      <c r="I94" s="8"/>
      <c r="J94" s="8"/>
      <c r="K94" s="8"/>
      <c r="L94" s="8"/>
      <c r="M94" s="8"/>
      <c r="N94" s="8"/>
      <c r="O94" s="8"/>
    </row>
    <row r="95" customFormat="false" ht="24.75" hidden="false" customHeight="true" outlineLevel="0" collapsed="false">
      <c r="A95" s="7"/>
      <c r="B95" s="7"/>
      <c r="C95" s="8"/>
      <c r="D95" s="16"/>
      <c r="E95" s="16"/>
      <c r="F95" s="16"/>
      <c r="G95" s="16"/>
      <c r="H95" s="16"/>
      <c r="I95" s="8"/>
      <c r="J95" s="8"/>
      <c r="K95" s="8"/>
      <c r="L95" s="8"/>
      <c r="M95" s="8"/>
      <c r="N95" s="8"/>
      <c r="O95" s="8"/>
    </row>
    <row r="96" customFormat="false" ht="24.75" hidden="false" customHeight="true" outlineLevel="0" collapsed="false">
      <c r="A96" s="7"/>
      <c r="B96" s="7"/>
      <c r="C96" s="8"/>
      <c r="D96" s="16"/>
      <c r="E96" s="16"/>
      <c r="F96" s="16"/>
      <c r="G96" s="16"/>
      <c r="H96" s="16"/>
      <c r="I96" s="8"/>
      <c r="J96" s="8"/>
      <c r="K96" s="8"/>
      <c r="L96" s="8"/>
      <c r="M96" s="8"/>
      <c r="N96" s="8"/>
      <c r="O96" s="8"/>
    </row>
    <row r="97" customFormat="false" ht="24.75" hidden="false" customHeight="true" outlineLevel="0" collapsed="false">
      <c r="A97" s="7"/>
      <c r="B97" s="7"/>
      <c r="C97" s="8"/>
      <c r="D97" s="16"/>
      <c r="E97" s="16"/>
      <c r="F97" s="16"/>
      <c r="G97" s="16"/>
      <c r="H97" s="16"/>
      <c r="I97" s="8"/>
      <c r="J97" s="8"/>
      <c r="K97" s="8"/>
      <c r="L97" s="8"/>
      <c r="M97" s="8"/>
      <c r="N97" s="8"/>
      <c r="O97" s="8"/>
    </row>
    <row r="98" customFormat="false" ht="24.75" hidden="false" customHeight="true" outlineLevel="0" collapsed="false">
      <c r="A98" s="7"/>
      <c r="B98" s="7"/>
      <c r="C98" s="8"/>
      <c r="D98" s="16"/>
      <c r="E98" s="16"/>
      <c r="F98" s="16"/>
      <c r="G98" s="16"/>
      <c r="H98" s="16"/>
      <c r="I98" s="8"/>
      <c r="J98" s="8"/>
      <c r="K98" s="8"/>
      <c r="L98" s="8"/>
      <c r="M98" s="8"/>
      <c r="N98" s="8"/>
      <c r="O98" s="8"/>
    </row>
    <row r="99" customFormat="false" ht="24.75" hidden="false" customHeight="true" outlineLevel="0" collapsed="false">
      <c r="A99" s="7"/>
      <c r="B99" s="7"/>
      <c r="C99" s="8"/>
      <c r="D99" s="16"/>
      <c r="E99" s="16"/>
      <c r="F99" s="16"/>
      <c r="G99" s="16"/>
      <c r="H99" s="16"/>
      <c r="I99" s="8"/>
      <c r="J99" s="8"/>
      <c r="K99" s="8"/>
      <c r="L99" s="8"/>
      <c r="M99" s="8"/>
      <c r="N99" s="8"/>
      <c r="O99" s="8"/>
    </row>
    <row r="100" customFormat="false" ht="24.75" hidden="false" customHeight="true" outlineLevel="0" collapsed="false">
      <c r="A100" s="7"/>
      <c r="B100" s="7"/>
      <c r="C100" s="8"/>
      <c r="D100" s="16"/>
      <c r="E100" s="16"/>
      <c r="F100" s="16"/>
      <c r="G100" s="16"/>
      <c r="H100" s="16"/>
      <c r="I100" s="8"/>
      <c r="J100" s="8"/>
      <c r="K100" s="8"/>
      <c r="L100" s="8"/>
      <c r="M100" s="8"/>
      <c r="N100" s="8"/>
      <c r="O100" s="8"/>
    </row>
    <row r="101" customFormat="false" ht="24.75" hidden="false" customHeight="true" outlineLevel="0" collapsed="false">
      <c r="A101" s="7"/>
      <c r="B101" s="7"/>
      <c r="C101" s="8"/>
      <c r="D101" s="16"/>
      <c r="E101" s="16"/>
      <c r="F101" s="16"/>
      <c r="G101" s="16"/>
      <c r="H101" s="16"/>
      <c r="I101" s="8"/>
      <c r="J101" s="8"/>
      <c r="K101" s="8"/>
      <c r="L101" s="8"/>
      <c r="M101" s="8"/>
      <c r="N101" s="8"/>
      <c r="O101" s="8"/>
    </row>
    <row r="102" customFormat="false" ht="24.75" hidden="false" customHeight="true" outlineLevel="0" collapsed="false">
      <c r="A102" s="7"/>
      <c r="B102" s="7"/>
      <c r="C102" s="8"/>
      <c r="D102" s="16"/>
      <c r="E102" s="16"/>
      <c r="F102" s="16"/>
      <c r="G102" s="16"/>
      <c r="H102" s="16"/>
      <c r="I102" s="8"/>
      <c r="J102" s="8"/>
      <c r="K102" s="8"/>
      <c r="L102" s="8"/>
      <c r="M102" s="8"/>
      <c r="N102" s="8"/>
      <c r="O102" s="8"/>
    </row>
    <row r="103" customFormat="false" ht="24.75" hidden="false" customHeight="true" outlineLevel="0" collapsed="false">
      <c r="A103" s="7"/>
      <c r="B103" s="7"/>
      <c r="C103" s="8"/>
      <c r="D103" s="16"/>
      <c r="E103" s="16"/>
      <c r="F103" s="16"/>
      <c r="G103" s="16"/>
      <c r="H103" s="16"/>
      <c r="I103" s="8"/>
      <c r="J103" s="8"/>
      <c r="K103" s="8"/>
      <c r="L103" s="8"/>
      <c r="M103" s="8"/>
      <c r="N103" s="8"/>
      <c r="O103" s="8"/>
    </row>
    <row r="104" customFormat="false" ht="24.75" hidden="false" customHeight="true" outlineLevel="0" collapsed="false">
      <c r="A104" s="7"/>
      <c r="B104" s="7"/>
      <c r="C104" s="8"/>
      <c r="D104" s="16"/>
      <c r="E104" s="16"/>
      <c r="F104" s="16"/>
      <c r="G104" s="16"/>
      <c r="H104" s="16"/>
      <c r="I104" s="8"/>
      <c r="J104" s="8"/>
      <c r="K104" s="8"/>
      <c r="L104" s="8"/>
      <c r="M104" s="8"/>
      <c r="N104" s="8"/>
      <c r="O104" s="8"/>
    </row>
    <row r="105" customFormat="false" ht="24.75" hidden="false" customHeight="true" outlineLevel="0" collapsed="false">
      <c r="A105" s="7"/>
      <c r="B105" s="7"/>
      <c r="C105" s="8"/>
      <c r="D105" s="16"/>
      <c r="E105" s="16"/>
      <c r="F105" s="16"/>
      <c r="G105" s="16"/>
      <c r="H105" s="16"/>
      <c r="I105" s="8"/>
      <c r="J105" s="8"/>
      <c r="K105" s="8"/>
      <c r="L105" s="8"/>
      <c r="M105" s="8"/>
      <c r="N105" s="8"/>
      <c r="O105" s="8"/>
    </row>
    <row r="106" customFormat="false" ht="24.75" hidden="false" customHeight="true" outlineLevel="0" collapsed="false">
      <c r="A106" s="7"/>
      <c r="B106" s="7"/>
      <c r="C106" s="8"/>
      <c r="D106" s="16"/>
      <c r="E106" s="16"/>
      <c r="F106" s="16"/>
      <c r="G106" s="16"/>
      <c r="H106" s="16"/>
      <c r="I106" s="8"/>
      <c r="J106" s="8"/>
      <c r="K106" s="8"/>
      <c r="L106" s="8"/>
      <c r="M106" s="8"/>
      <c r="N106" s="8"/>
      <c r="O106" s="8"/>
    </row>
    <row r="107" customFormat="false" ht="24.75" hidden="false" customHeight="true" outlineLevel="0" collapsed="false">
      <c r="A107" s="7"/>
      <c r="B107" s="7"/>
      <c r="C107" s="8"/>
      <c r="D107" s="16"/>
      <c r="E107" s="16"/>
      <c r="F107" s="16"/>
      <c r="G107" s="16"/>
      <c r="H107" s="16"/>
      <c r="I107" s="8"/>
      <c r="J107" s="8"/>
      <c r="K107" s="8"/>
      <c r="L107" s="8"/>
      <c r="M107" s="8"/>
      <c r="N107" s="8"/>
      <c r="O107" s="8"/>
    </row>
    <row r="108" customFormat="false" ht="24.75" hidden="false" customHeight="true" outlineLevel="0" collapsed="false">
      <c r="A108" s="7"/>
      <c r="B108" s="7"/>
      <c r="C108" s="8"/>
      <c r="D108" s="16"/>
      <c r="E108" s="16"/>
      <c r="F108" s="16"/>
      <c r="G108" s="16"/>
      <c r="H108" s="16"/>
      <c r="I108" s="8"/>
      <c r="J108" s="8"/>
      <c r="K108" s="8"/>
      <c r="L108" s="8"/>
      <c r="M108" s="8"/>
      <c r="N108" s="8"/>
      <c r="O108" s="8"/>
    </row>
    <row r="109" customFormat="false" ht="24.75" hidden="false" customHeight="true" outlineLevel="0" collapsed="false">
      <c r="A109" s="7"/>
      <c r="B109" s="7"/>
      <c r="C109" s="8"/>
      <c r="D109" s="16"/>
      <c r="E109" s="16"/>
      <c r="F109" s="16"/>
      <c r="G109" s="16"/>
      <c r="H109" s="16"/>
      <c r="I109" s="8"/>
      <c r="J109" s="8"/>
      <c r="K109" s="8"/>
      <c r="L109" s="8"/>
      <c r="M109" s="8"/>
      <c r="N109" s="8"/>
      <c r="O109" s="8"/>
    </row>
    <row r="110" customFormat="false" ht="24.75" hidden="false" customHeight="true" outlineLevel="0" collapsed="false">
      <c r="A110" s="7"/>
      <c r="B110" s="7"/>
      <c r="C110" s="8"/>
      <c r="D110" s="16"/>
      <c r="E110" s="16"/>
      <c r="F110" s="16"/>
      <c r="G110" s="16"/>
      <c r="H110" s="16"/>
      <c r="I110" s="8"/>
      <c r="J110" s="8"/>
      <c r="K110" s="8"/>
      <c r="L110" s="8"/>
      <c r="M110" s="8"/>
      <c r="N110" s="8"/>
      <c r="O110" s="8"/>
    </row>
    <row r="111" customFormat="false" ht="24.75" hidden="false" customHeight="true" outlineLevel="0" collapsed="false">
      <c r="A111" s="7"/>
      <c r="B111" s="7"/>
      <c r="C111" s="8"/>
      <c r="D111" s="16"/>
      <c r="E111" s="16"/>
      <c r="F111" s="16"/>
      <c r="G111" s="16"/>
      <c r="H111" s="16"/>
      <c r="I111" s="8"/>
      <c r="J111" s="8"/>
      <c r="K111" s="8"/>
      <c r="L111" s="8"/>
      <c r="M111" s="8"/>
      <c r="N111" s="8"/>
      <c r="O111" s="8"/>
    </row>
    <row r="112" customFormat="false" ht="24.75" hidden="false" customHeight="true" outlineLevel="0" collapsed="false">
      <c r="A112" s="7"/>
      <c r="B112" s="7"/>
      <c r="C112" s="8"/>
      <c r="D112" s="16"/>
      <c r="E112" s="16"/>
      <c r="F112" s="16"/>
      <c r="G112" s="16"/>
      <c r="H112" s="16"/>
      <c r="I112" s="8"/>
      <c r="J112" s="8"/>
      <c r="K112" s="8"/>
      <c r="L112" s="8"/>
      <c r="M112" s="8"/>
      <c r="N112" s="8"/>
      <c r="O112" s="8"/>
    </row>
    <row r="113" customFormat="false" ht="24.75" hidden="false" customHeight="true" outlineLevel="0" collapsed="false">
      <c r="A113" s="7"/>
      <c r="B113" s="7"/>
      <c r="C113" s="8"/>
      <c r="D113" s="16"/>
      <c r="E113" s="16"/>
      <c r="F113" s="16"/>
      <c r="G113" s="16"/>
      <c r="H113" s="16"/>
      <c r="I113" s="8"/>
      <c r="J113" s="8"/>
      <c r="K113" s="8"/>
      <c r="L113" s="8"/>
      <c r="M113" s="8"/>
      <c r="N113" s="8"/>
      <c r="O113" s="8"/>
    </row>
    <row r="114" customFormat="false" ht="24.75" hidden="false" customHeight="true" outlineLevel="0" collapsed="false">
      <c r="A114" s="7"/>
      <c r="B114" s="7"/>
      <c r="C114" s="8"/>
      <c r="D114" s="16"/>
      <c r="E114" s="16"/>
      <c r="F114" s="16"/>
      <c r="G114" s="16"/>
      <c r="H114" s="16"/>
      <c r="I114" s="8"/>
      <c r="J114" s="8"/>
      <c r="K114" s="8"/>
      <c r="L114" s="8"/>
      <c r="M114" s="8"/>
      <c r="N114" s="8"/>
      <c r="O114" s="8"/>
    </row>
    <row r="115" customFormat="false" ht="24.75" hidden="false" customHeight="true" outlineLevel="0" collapsed="false">
      <c r="A115" s="7"/>
      <c r="B115" s="7"/>
      <c r="C115" s="8"/>
      <c r="D115" s="16"/>
      <c r="E115" s="16"/>
      <c r="F115" s="16"/>
      <c r="G115" s="16"/>
      <c r="H115" s="16"/>
      <c r="I115" s="8"/>
      <c r="J115" s="8"/>
      <c r="K115" s="8"/>
      <c r="L115" s="8"/>
      <c r="M115" s="8"/>
      <c r="N115" s="8"/>
      <c r="O115" s="8"/>
    </row>
  </sheetData>
  <mergeCells count="6">
    <mergeCell ref="C2:H2"/>
    <mergeCell ref="C34:H34"/>
    <mergeCell ref="C35:H35"/>
    <mergeCell ref="C36:H36"/>
    <mergeCell ref="C37:H37"/>
    <mergeCell ref="C38:H3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8B525"/>
    <pageSetUpPr fitToPage="false"/>
  </sheetPr>
  <dimension ref="A1:O11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1" width="3"/>
    <col collapsed="false" customWidth="true" hidden="false" outlineLevel="0" max="3" min="3" style="1" width="30"/>
    <col collapsed="false" customWidth="true" hidden="false" outlineLevel="0" max="5" min="4" style="1" width="32"/>
    <col collapsed="false" customWidth="true" hidden="false" outlineLevel="0" max="10" min="6" style="1" width="25"/>
    <col collapsed="false" customWidth="true" hidden="false" outlineLevel="0" max="15" min="11" style="1" width="15"/>
  </cols>
  <sheetData>
    <row r="1" customFormat="false" ht="15" hidden="false" customHeight="false" outlineLevel="0" collapsed="false">
      <c r="A1" s="7"/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customFormat="false" ht="36.75" hidden="false" customHeight="true" outlineLevel="0" collapsed="false">
      <c r="A2" s="7"/>
      <c r="B2" s="7"/>
      <c r="C2" s="59" t="s">
        <v>456</v>
      </c>
      <c r="D2" s="59"/>
      <c r="E2" s="59"/>
      <c r="F2" s="59"/>
      <c r="G2" s="59"/>
      <c r="H2" s="59"/>
      <c r="I2" s="8"/>
      <c r="J2" s="8"/>
      <c r="K2" s="8"/>
      <c r="L2" s="8"/>
      <c r="M2" s="8"/>
      <c r="N2" s="8"/>
      <c r="O2" s="8"/>
    </row>
    <row r="3" customFormat="false" ht="15" hidden="false" customHeight="false" outlineLevel="0" collapsed="false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customFormat="false" ht="24.75" hidden="false" customHeight="true" outlineLevel="0" collapsed="false">
      <c r="A4" s="7"/>
      <c r="B4" s="7"/>
      <c r="C4" s="53"/>
      <c r="D4" s="53"/>
      <c r="E4" s="53"/>
      <c r="F4" s="53"/>
      <c r="G4" s="53"/>
      <c r="H4" s="53"/>
      <c r="I4" s="53"/>
      <c r="J4" s="53"/>
      <c r="K4" s="8"/>
      <c r="L4" s="8"/>
      <c r="M4" s="8"/>
      <c r="N4" s="8"/>
      <c r="O4" s="8"/>
    </row>
    <row r="5" customFormat="false" ht="48" hidden="false" customHeight="true" outlineLevel="0" collapsed="false">
      <c r="A5" s="7"/>
      <c r="B5" s="7"/>
      <c r="C5" s="68" t="s">
        <v>457</v>
      </c>
      <c r="D5" s="69" t="s">
        <v>458</v>
      </c>
      <c r="E5" s="69" t="s">
        <v>459</v>
      </c>
      <c r="F5" s="69" t="s">
        <v>460</v>
      </c>
      <c r="G5" s="69" t="s">
        <v>461</v>
      </c>
      <c r="H5" s="69" t="s">
        <v>462</v>
      </c>
      <c r="I5" s="68" t="s">
        <v>463</v>
      </c>
      <c r="J5" s="68" t="s">
        <v>464</v>
      </c>
      <c r="K5" s="8"/>
      <c r="L5" s="8"/>
      <c r="M5" s="8"/>
      <c r="N5" s="8"/>
      <c r="O5" s="8"/>
    </row>
    <row r="6" customFormat="false" ht="31.5" hidden="false" customHeight="true" outlineLevel="0" collapsed="false">
      <c r="A6" s="7"/>
      <c r="B6" s="7"/>
      <c r="C6" s="53" t="s">
        <v>156</v>
      </c>
      <c r="D6" s="70" t="n">
        <v>45292</v>
      </c>
      <c r="E6" s="70" t="n">
        <v>45657</v>
      </c>
      <c r="F6" s="57" t="n">
        <v>2079563</v>
      </c>
      <c r="G6" s="57"/>
      <c r="H6" s="57"/>
      <c r="I6" s="57"/>
      <c r="J6" s="71"/>
      <c r="K6" s="8"/>
      <c r="L6" s="8"/>
      <c r="M6" s="8"/>
      <c r="N6" s="8"/>
      <c r="O6" s="8"/>
    </row>
    <row r="7" customFormat="false" ht="31.5" hidden="false" customHeight="true" outlineLevel="0" collapsed="false">
      <c r="A7" s="7"/>
      <c r="B7" s="7"/>
      <c r="C7" s="53" t="s">
        <v>156</v>
      </c>
      <c r="D7" s="70" t="n">
        <v>45658</v>
      </c>
      <c r="E7" s="70" t="n">
        <v>46022</v>
      </c>
      <c r="F7" s="57" t="n">
        <v>2103251</v>
      </c>
      <c r="G7" s="57" t="n">
        <v>980674</v>
      </c>
      <c r="H7" s="57" t="n">
        <v>17357</v>
      </c>
      <c r="I7" s="57" t="n">
        <f aca="false">F7/H7</f>
        <v>121.175952065449</v>
      </c>
      <c r="J7" s="71" t="n">
        <f aca="false">G7/F7</f>
        <v>0.466265795190398</v>
      </c>
      <c r="K7" s="8"/>
      <c r="L7" s="8"/>
      <c r="M7" s="8"/>
      <c r="N7" s="8"/>
      <c r="O7" s="8"/>
    </row>
    <row r="8" customFormat="false" ht="31.5" hidden="false" customHeight="true" outlineLevel="0" collapsed="false">
      <c r="A8" s="7"/>
      <c r="B8" s="7"/>
      <c r="C8" s="53" t="s">
        <v>159</v>
      </c>
      <c r="D8" s="70" t="n">
        <v>45658</v>
      </c>
      <c r="E8" s="70" t="n">
        <v>45930</v>
      </c>
      <c r="F8" s="57" t="n">
        <v>874948</v>
      </c>
      <c r="G8" s="57" t="n">
        <v>147120</v>
      </c>
      <c r="H8" s="57" t="n">
        <v>4817</v>
      </c>
      <c r="I8" s="57" t="n">
        <f aca="false">F8/H8</f>
        <v>181.63753373469</v>
      </c>
      <c r="J8" s="71" t="n">
        <f aca="false">G8/F8</f>
        <v>0.168147135601201</v>
      </c>
      <c r="K8" s="8"/>
      <c r="L8" s="8"/>
      <c r="M8" s="8"/>
      <c r="N8" s="8"/>
      <c r="O8" s="8"/>
    </row>
    <row r="9" customFormat="false" ht="31.5" hidden="false" customHeight="true" outlineLevel="0" collapsed="false">
      <c r="A9" s="7"/>
      <c r="B9" s="7"/>
      <c r="C9" s="53"/>
      <c r="D9" s="57"/>
      <c r="E9" s="57"/>
      <c r="F9" s="57"/>
      <c r="G9" s="57"/>
      <c r="H9" s="57"/>
      <c r="I9" s="53"/>
      <c r="J9" s="53"/>
      <c r="K9" s="8"/>
      <c r="L9" s="8"/>
      <c r="M9" s="8"/>
      <c r="N9" s="8"/>
      <c r="O9" s="8"/>
    </row>
    <row r="10" customFormat="false" ht="31.5" hidden="false" customHeight="true" outlineLevel="0" collapsed="false">
      <c r="A10" s="7"/>
      <c r="B10" s="7"/>
      <c r="C10" s="53"/>
      <c r="D10" s="57"/>
      <c r="E10" s="57"/>
      <c r="F10" s="57"/>
      <c r="G10" s="57"/>
      <c r="H10" s="57"/>
      <c r="I10" s="53"/>
      <c r="J10" s="53"/>
      <c r="K10" s="8"/>
      <c r="L10" s="8"/>
      <c r="M10" s="8"/>
      <c r="N10" s="8"/>
      <c r="O10" s="8"/>
    </row>
    <row r="11" customFormat="false" ht="39" hidden="false" customHeight="true" outlineLevel="0" collapsed="false">
      <c r="A11" s="7"/>
      <c r="B11" s="7"/>
      <c r="C11" s="65" t="s">
        <v>465</v>
      </c>
      <c r="D11" s="65"/>
      <c r="E11" s="65"/>
      <c r="F11" s="65"/>
      <c r="G11" s="65"/>
      <c r="H11" s="65"/>
      <c r="I11" s="65"/>
      <c r="J11" s="65"/>
      <c r="K11" s="8"/>
      <c r="L11" s="8"/>
      <c r="M11" s="8"/>
      <c r="N11" s="8"/>
      <c r="O11" s="8"/>
    </row>
    <row r="12" customFormat="false" ht="31.5" hidden="false" customHeight="true" outlineLevel="0" collapsed="false">
      <c r="A12" s="7"/>
      <c r="B12" s="7"/>
      <c r="C12" s="53"/>
      <c r="D12" s="57"/>
      <c r="E12" s="57"/>
      <c r="F12" s="57"/>
      <c r="G12" s="57"/>
      <c r="H12" s="57"/>
      <c r="I12" s="53"/>
      <c r="J12" s="53"/>
      <c r="K12" s="8"/>
      <c r="L12" s="8"/>
      <c r="M12" s="8"/>
      <c r="N12" s="8"/>
      <c r="O12" s="8"/>
    </row>
    <row r="13" customFormat="false" ht="31.5" hidden="false" customHeight="true" outlineLevel="0" collapsed="false">
      <c r="A13" s="7"/>
      <c r="B13" s="7"/>
      <c r="C13" s="53"/>
      <c r="D13" s="57"/>
      <c r="E13" s="57"/>
      <c r="F13" s="57"/>
      <c r="G13" s="57"/>
      <c r="H13" s="57"/>
      <c r="I13" s="53"/>
      <c r="J13" s="53"/>
      <c r="K13" s="8"/>
      <c r="L13" s="8"/>
      <c r="M13" s="8"/>
      <c r="N13" s="8"/>
      <c r="O13" s="8"/>
    </row>
    <row r="14" customFormat="false" ht="31.5" hidden="false" customHeight="true" outlineLevel="0" collapsed="false">
      <c r="A14" s="7"/>
      <c r="B14" s="7"/>
      <c r="C14" s="68" t="s">
        <v>466</v>
      </c>
      <c r="D14" s="69" t="s">
        <v>458</v>
      </c>
      <c r="E14" s="69" t="s">
        <v>459</v>
      </c>
      <c r="F14" s="69" t="s">
        <v>467</v>
      </c>
      <c r="G14" s="69" t="s">
        <v>468</v>
      </c>
      <c r="H14" s="69" t="s">
        <v>375</v>
      </c>
      <c r="I14" s="53"/>
      <c r="J14" s="53"/>
      <c r="K14" s="8"/>
      <c r="L14" s="8"/>
      <c r="M14" s="8"/>
      <c r="N14" s="8"/>
      <c r="O14" s="8"/>
    </row>
    <row r="15" customFormat="false" ht="31.5" hidden="false" customHeight="true" outlineLevel="0" collapsed="false">
      <c r="A15" s="7"/>
      <c r="B15" s="7"/>
      <c r="C15" s="53" t="s">
        <v>469</v>
      </c>
      <c r="D15" s="70" t="n">
        <v>45536</v>
      </c>
      <c r="E15" s="70" t="n">
        <v>45930</v>
      </c>
      <c r="F15" s="57" t="n">
        <v>1194000</v>
      </c>
      <c r="G15" s="71" t="n">
        <v>1</v>
      </c>
      <c r="H15" s="57" t="s">
        <v>470</v>
      </c>
      <c r="I15" s="53"/>
      <c r="J15" s="53"/>
      <c r="K15" s="8"/>
      <c r="L15" s="8"/>
      <c r="M15" s="8"/>
      <c r="N15" s="8"/>
      <c r="O15" s="8"/>
    </row>
    <row r="16" customFormat="false" ht="31.5" hidden="false" customHeight="true" outlineLevel="0" collapsed="false">
      <c r="A16" s="7"/>
      <c r="B16" s="7"/>
      <c r="C16" s="53" t="s">
        <v>471</v>
      </c>
      <c r="D16" s="70" t="n">
        <v>45536</v>
      </c>
      <c r="E16" s="70" t="n">
        <v>45930</v>
      </c>
      <c r="F16" s="57" t="n">
        <v>244446</v>
      </c>
      <c r="G16" s="71" t="n">
        <f aca="false">F16/F15</f>
        <v>0.20472864321608</v>
      </c>
      <c r="H16" s="57" t="s">
        <v>470</v>
      </c>
      <c r="I16" s="53"/>
      <c r="J16" s="53"/>
      <c r="K16" s="8"/>
      <c r="L16" s="8"/>
      <c r="M16" s="8"/>
      <c r="N16" s="8"/>
      <c r="O16" s="8"/>
    </row>
    <row r="17" customFormat="false" ht="31.5" hidden="false" customHeight="true" outlineLevel="0" collapsed="false">
      <c r="A17" s="7"/>
      <c r="B17" s="7"/>
      <c r="C17" s="53"/>
      <c r="D17" s="57"/>
      <c r="E17" s="57"/>
      <c r="F17" s="57"/>
      <c r="G17" s="57"/>
      <c r="H17" s="57"/>
      <c r="I17" s="53"/>
      <c r="J17" s="53"/>
      <c r="K17" s="8"/>
      <c r="L17" s="8"/>
      <c r="M17" s="8"/>
      <c r="N17" s="8"/>
      <c r="O17" s="8"/>
    </row>
    <row r="18" customFormat="false" ht="39" hidden="false" customHeight="true" outlineLevel="0" collapsed="false">
      <c r="A18" s="7"/>
      <c r="B18" s="7"/>
      <c r="C18" s="65" t="s">
        <v>472</v>
      </c>
      <c r="D18" s="65"/>
      <c r="E18" s="65"/>
      <c r="F18" s="65"/>
      <c r="G18" s="65"/>
      <c r="H18" s="65"/>
      <c r="I18" s="65"/>
      <c r="J18" s="65"/>
      <c r="K18" s="8"/>
      <c r="L18" s="8"/>
      <c r="M18" s="8"/>
      <c r="N18" s="8"/>
      <c r="O18" s="8"/>
    </row>
    <row r="19" customFormat="false" ht="31.5" hidden="false" customHeight="true" outlineLevel="0" collapsed="false">
      <c r="A19" s="7"/>
      <c r="B19" s="7"/>
      <c r="C19" s="53"/>
      <c r="D19" s="57"/>
      <c r="E19" s="57"/>
      <c r="F19" s="57"/>
      <c r="G19" s="57"/>
      <c r="H19" s="57"/>
      <c r="I19" s="53"/>
      <c r="J19" s="53"/>
      <c r="K19" s="8"/>
      <c r="L19" s="8"/>
      <c r="M19" s="8"/>
      <c r="N19" s="8"/>
      <c r="O19" s="8"/>
    </row>
    <row r="20" customFormat="false" ht="31.5" hidden="false" customHeight="true" outlineLevel="0" collapsed="false">
      <c r="A20" s="7"/>
      <c r="B20" s="7"/>
      <c r="C20" s="53"/>
      <c r="D20" s="57"/>
      <c r="E20" s="57"/>
      <c r="F20" s="57"/>
      <c r="G20" s="57"/>
      <c r="H20" s="57"/>
      <c r="I20" s="53"/>
      <c r="J20" s="53"/>
      <c r="K20" s="8"/>
      <c r="L20" s="8"/>
      <c r="M20" s="8"/>
      <c r="N20" s="8"/>
      <c r="O20" s="8"/>
    </row>
    <row r="21" customFormat="false" ht="31.5" hidden="false" customHeight="true" outlineLevel="0" collapsed="false">
      <c r="A21" s="7"/>
      <c r="B21" s="7"/>
      <c r="C21" s="68" t="s">
        <v>473</v>
      </c>
      <c r="D21" s="69" t="s">
        <v>474</v>
      </c>
      <c r="E21" s="69" t="s">
        <v>460</v>
      </c>
      <c r="F21" s="69" t="s">
        <v>475</v>
      </c>
      <c r="G21" s="69" t="s">
        <v>375</v>
      </c>
      <c r="H21" s="57"/>
      <c r="I21" s="53"/>
      <c r="J21" s="53"/>
      <c r="K21" s="8"/>
      <c r="L21" s="8"/>
      <c r="M21" s="8"/>
      <c r="N21" s="8"/>
      <c r="O21" s="8"/>
    </row>
    <row r="22" customFormat="false" ht="31.5" hidden="false" customHeight="true" outlineLevel="0" collapsed="false">
      <c r="A22" s="7"/>
      <c r="B22" s="7"/>
      <c r="C22" s="53" t="s">
        <v>159</v>
      </c>
      <c r="D22" s="57" t="s">
        <v>476</v>
      </c>
      <c r="E22" s="57" t="n">
        <v>244446</v>
      </c>
      <c r="F22" s="57" t="s">
        <v>477</v>
      </c>
      <c r="G22" s="57" t="s">
        <v>478</v>
      </c>
      <c r="H22" s="57"/>
      <c r="I22" s="53"/>
      <c r="J22" s="53"/>
      <c r="K22" s="8"/>
      <c r="L22" s="8"/>
      <c r="M22" s="8"/>
      <c r="N22" s="8"/>
      <c r="O22" s="8"/>
    </row>
    <row r="23" customFormat="false" ht="31.5" hidden="false" customHeight="true" outlineLevel="0" collapsed="false">
      <c r="A23" s="7"/>
      <c r="B23" s="7"/>
      <c r="C23" s="53" t="s">
        <v>479</v>
      </c>
      <c r="D23" s="57" t="s">
        <v>480</v>
      </c>
      <c r="E23" s="57" t="n">
        <v>146624</v>
      </c>
      <c r="F23" s="57" t="s">
        <v>477</v>
      </c>
      <c r="G23" s="57" t="s">
        <v>478</v>
      </c>
      <c r="H23" s="57"/>
      <c r="I23" s="53"/>
      <c r="J23" s="53"/>
      <c r="K23" s="8"/>
      <c r="L23" s="8"/>
      <c r="M23" s="8"/>
      <c r="N23" s="8"/>
      <c r="O23" s="8"/>
    </row>
    <row r="24" customFormat="false" ht="31.5" hidden="false" customHeight="true" outlineLevel="0" collapsed="false">
      <c r="A24" s="7"/>
      <c r="B24" s="7"/>
      <c r="C24" s="53" t="s">
        <v>481</v>
      </c>
      <c r="D24" s="57" t="s">
        <v>482</v>
      </c>
      <c r="E24" s="57" t="n">
        <v>94173</v>
      </c>
      <c r="F24" s="57" t="s">
        <v>477</v>
      </c>
      <c r="G24" s="57" t="s">
        <v>478</v>
      </c>
      <c r="H24" s="57"/>
      <c r="I24" s="53"/>
      <c r="J24" s="53"/>
      <c r="K24" s="8"/>
      <c r="L24" s="8"/>
      <c r="M24" s="8"/>
      <c r="N24" s="8"/>
      <c r="O24" s="8"/>
    </row>
    <row r="25" customFormat="false" ht="31.5" hidden="false" customHeight="true" outlineLevel="0" collapsed="false">
      <c r="A25" s="7"/>
      <c r="B25" s="7"/>
      <c r="C25" s="53" t="s">
        <v>483</v>
      </c>
      <c r="D25" s="57" t="s">
        <v>484</v>
      </c>
      <c r="E25" s="57" t="n">
        <v>55360</v>
      </c>
      <c r="F25" s="57" t="s">
        <v>477</v>
      </c>
      <c r="G25" s="57" t="s">
        <v>478</v>
      </c>
      <c r="H25" s="57"/>
      <c r="I25" s="53"/>
      <c r="J25" s="53"/>
      <c r="K25" s="8"/>
      <c r="L25" s="8"/>
      <c r="M25" s="8"/>
      <c r="N25" s="8"/>
      <c r="O25" s="8"/>
    </row>
    <row r="26" customFormat="false" ht="31.5" hidden="false" customHeight="true" outlineLevel="0" collapsed="false">
      <c r="A26" s="7"/>
      <c r="B26" s="7"/>
      <c r="C26" s="53" t="s">
        <v>156</v>
      </c>
      <c r="D26" s="57" t="s">
        <v>485</v>
      </c>
      <c r="E26" s="57" t="n">
        <v>25550</v>
      </c>
      <c r="F26" s="57" t="s">
        <v>477</v>
      </c>
      <c r="G26" s="57" t="s">
        <v>478</v>
      </c>
      <c r="H26" s="57"/>
      <c r="I26" s="53"/>
      <c r="J26" s="53"/>
      <c r="K26" s="8"/>
      <c r="L26" s="8"/>
      <c r="M26" s="8"/>
      <c r="N26" s="8"/>
      <c r="O26" s="8"/>
    </row>
    <row r="27" customFormat="false" ht="31.5" hidden="false" customHeight="true" outlineLevel="0" collapsed="false">
      <c r="A27" s="7"/>
      <c r="B27" s="7"/>
      <c r="C27" s="53"/>
      <c r="D27" s="57"/>
      <c r="E27" s="57"/>
      <c r="F27" s="57"/>
      <c r="G27" s="57"/>
      <c r="H27" s="57"/>
      <c r="I27" s="53"/>
      <c r="J27" s="53"/>
      <c r="K27" s="8"/>
      <c r="L27" s="8"/>
      <c r="M27" s="8"/>
      <c r="N27" s="8"/>
      <c r="O27" s="8"/>
    </row>
    <row r="28" customFormat="false" ht="31.5" hidden="false" customHeight="true" outlineLevel="0" collapsed="false">
      <c r="A28" s="7"/>
      <c r="B28" s="7"/>
      <c r="C28" s="53"/>
      <c r="D28" s="57"/>
      <c r="E28" s="57"/>
      <c r="F28" s="57"/>
      <c r="G28" s="57"/>
      <c r="H28" s="57"/>
      <c r="I28" s="53"/>
      <c r="J28" s="53"/>
      <c r="K28" s="8"/>
      <c r="L28" s="8"/>
      <c r="M28" s="8"/>
      <c r="N28" s="8"/>
      <c r="O28" s="8"/>
    </row>
    <row r="29" customFormat="false" ht="31.5" hidden="false" customHeight="true" outlineLevel="0" collapsed="false">
      <c r="A29" s="7"/>
      <c r="B29" s="7"/>
      <c r="C29" s="53" t="s">
        <v>486</v>
      </c>
      <c r="D29" s="57"/>
      <c r="E29" s="57"/>
      <c r="F29" s="57" t="n">
        <v>6730000</v>
      </c>
      <c r="G29" s="57" t="s">
        <v>487</v>
      </c>
      <c r="H29" s="57"/>
      <c r="I29" s="53"/>
      <c r="J29" s="53"/>
      <c r="K29" s="8"/>
      <c r="L29" s="8"/>
      <c r="M29" s="8"/>
      <c r="N29" s="8"/>
      <c r="O29" s="8"/>
    </row>
    <row r="30" customFormat="false" ht="31.5" hidden="false" customHeight="true" outlineLevel="0" collapsed="false">
      <c r="A30" s="7"/>
      <c r="B30" s="7"/>
      <c r="C30" s="53"/>
      <c r="D30" s="57"/>
      <c r="E30" s="57"/>
      <c r="F30" s="57"/>
      <c r="G30" s="57"/>
      <c r="H30" s="57"/>
      <c r="I30" s="53"/>
      <c r="J30" s="53"/>
      <c r="K30" s="8"/>
      <c r="L30" s="8"/>
      <c r="M30" s="8"/>
      <c r="N30" s="8"/>
      <c r="O30" s="8"/>
    </row>
    <row r="31" customFormat="false" ht="39" hidden="false" customHeight="true" outlineLevel="0" collapsed="false">
      <c r="A31" s="7"/>
      <c r="B31" s="7"/>
      <c r="C31" s="65" t="s">
        <v>488</v>
      </c>
      <c r="D31" s="65"/>
      <c r="E31" s="65"/>
      <c r="F31" s="65"/>
      <c r="G31" s="65"/>
      <c r="H31" s="65"/>
      <c r="I31" s="65"/>
      <c r="J31" s="65"/>
      <c r="K31" s="8"/>
      <c r="L31" s="8"/>
      <c r="M31" s="8"/>
      <c r="N31" s="8"/>
      <c r="O31" s="8"/>
    </row>
    <row r="32" customFormat="false" ht="31.5" hidden="false" customHeight="true" outlineLevel="0" collapsed="false">
      <c r="A32" s="7"/>
      <c r="B32" s="7"/>
      <c r="C32" s="53"/>
      <c r="D32" s="57"/>
      <c r="E32" s="57"/>
      <c r="F32" s="57"/>
      <c r="G32" s="57"/>
      <c r="H32" s="57"/>
      <c r="I32" s="53"/>
      <c r="J32" s="53"/>
      <c r="K32" s="8"/>
      <c r="L32" s="8"/>
      <c r="M32" s="8"/>
      <c r="N32" s="8"/>
      <c r="O32" s="8"/>
    </row>
    <row r="33" customFormat="false" ht="31.5" hidden="false" customHeight="true" outlineLevel="0" collapsed="false">
      <c r="A33" s="7"/>
      <c r="B33" s="7"/>
      <c r="C33" s="53"/>
      <c r="D33" s="57"/>
      <c r="E33" s="57"/>
      <c r="F33" s="57"/>
      <c r="G33" s="57"/>
      <c r="H33" s="57"/>
      <c r="I33" s="53"/>
      <c r="J33" s="53"/>
      <c r="K33" s="8"/>
      <c r="L33" s="8"/>
      <c r="M33" s="8"/>
      <c r="N33" s="8"/>
      <c r="O33" s="8"/>
    </row>
    <row r="34" customFormat="false" ht="31.5" hidden="false" customHeight="true" outlineLevel="0" collapsed="false">
      <c r="A34" s="7"/>
      <c r="B34" s="7"/>
      <c r="C34" s="53"/>
      <c r="D34" s="57"/>
      <c r="E34" s="57"/>
      <c r="F34" s="57"/>
      <c r="G34" s="57"/>
      <c r="H34" s="57"/>
      <c r="I34" s="53"/>
      <c r="J34" s="53"/>
      <c r="K34" s="8"/>
      <c r="L34" s="8"/>
      <c r="M34" s="8"/>
      <c r="N34" s="8"/>
      <c r="O34" s="8"/>
    </row>
    <row r="35" customFormat="false" ht="31.5" hidden="false" customHeight="true" outlineLevel="0" collapsed="false">
      <c r="A35" s="7"/>
      <c r="B35" s="7"/>
      <c r="C35" s="53"/>
      <c r="D35" s="57"/>
      <c r="E35" s="57"/>
      <c r="F35" s="57"/>
      <c r="G35" s="57"/>
      <c r="H35" s="57"/>
      <c r="I35" s="53"/>
      <c r="J35" s="53"/>
      <c r="K35" s="8"/>
      <c r="L35" s="8"/>
      <c r="M35" s="8"/>
      <c r="N35" s="8"/>
      <c r="O35" s="8"/>
    </row>
    <row r="36" customFormat="false" ht="31.5" hidden="false" customHeight="true" outlineLevel="0" collapsed="false">
      <c r="A36" s="7"/>
      <c r="B36" s="7"/>
      <c r="C36" s="53"/>
      <c r="D36" s="57"/>
      <c r="E36" s="57"/>
      <c r="F36" s="57"/>
      <c r="G36" s="57"/>
      <c r="H36" s="57"/>
      <c r="I36" s="53"/>
      <c r="J36" s="53"/>
      <c r="K36" s="8"/>
      <c r="L36" s="8"/>
      <c r="M36" s="8"/>
      <c r="N36" s="8"/>
      <c r="O36" s="8"/>
    </row>
    <row r="37" customFormat="false" ht="31.5" hidden="false" customHeight="true" outlineLevel="0" collapsed="false">
      <c r="A37" s="7"/>
      <c r="B37" s="7"/>
      <c r="C37" s="53"/>
      <c r="D37" s="57"/>
      <c r="E37" s="57"/>
      <c r="F37" s="57"/>
      <c r="G37" s="57"/>
      <c r="H37" s="57"/>
      <c r="I37" s="53"/>
      <c r="J37" s="53"/>
      <c r="K37" s="8"/>
      <c r="L37" s="8"/>
      <c r="M37" s="8"/>
      <c r="N37" s="8"/>
      <c r="O37" s="8"/>
    </row>
    <row r="38" customFormat="false" ht="31.5" hidden="false" customHeight="true" outlineLevel="0" collapsed="false">
      <c r="A38" s="7"/>
      <c r="B38" s="7"/>
      <c r="C38" s="53"/>
      <c r="D38" s="57"/>
      <c r="E38" s="57"/>
      <c r="F38" s="57"/>
      <c r="G38" s="57"/>
      <c r="H38" s="57"/>
      <c r="I38" s="53"/>
      <c r="J38" s="53"/>
      <c r="K38" s="8"/>
      <c r="L38" s="8"/>
      <c r="M38" s="8"/>
      <c r="N38" s="8"/>
      <c r="O38" s="8"/>
    </row>
    <row r="39" customFormat="false" ht="31.5" hidden="false" customHeight="true" outlineLevel="0" collapsed="false">
      <c r="A39" s="7"/>
      <c r="B39" s="7"/>
      <c r="C39" s="53"/>
      <c r="D39" s="57"/>
      <c r="E39" s="57"/>
      <c r="F39" s="57"/>
      <c r="G39" s="57"/>
      <c r="H39" s="57"/>
      <c r="I39" s="53"/>
      <c r="J39" s="53"/>
      <c r="K39" s="8"/>
      <c r="L39" s="8"/>
      <c r="M39" s="8"/>
      <c r="N39" s="8"/>
      <c r="O39" s="8"/>
    </row>
    <row r="40" customFormat="false" ht="31.5" hidden="false" customHeight="true" outlineLevel="0" collapsed="false">
      <c r="A40" s="7"/>
      <c r="B40" s="7"/>
      <c r="C40" s="53"/>
      <c r="D40" s="57"/>
      <c r="E40" s="57"/>
      <c r="F40" s="57"/>
      <c r="G40" s="57"/>
      <c r="H40" s="57"/>
      <c r="I40" s="53"/>
      <c r="J40" s="53"/>
      <c r="K40" s="8"/>
      <c r="L40" s="8"/>
      <c r="M40" s="8"/>
      <c r="N40" s="8"/>
      <c r="O40" s="8"/>
    </row>
    <row r="41" customFormat="false" ht="24.75" hidden="false" customHeight="true" outlineLevel="0" collapsed="false">
      <c r="A41" s="7"/>
      <c r="B41" s="7"/>
      <c r="C41" s="8"/>
      <c r="D41" s="16"/>
      <c r="E41" s="16"/>
      <c r="F41" s="16"/>
      <c r="G41" s="16"/>
      <c r="H41" s="16"/>
      <c r="I41" s="8"/>
      <c r="J41" s="8"/>
      <c r="K41" s="8"/>
      <c r="L41" s="8"/>
      <c r="M41" s="8"/>
      <c r="N41" s="8"/>
      <c r="O41" s="8"/>
    </row>
    <row r="42" customFormat="false" ht="24.75" hidden="false" customHeight="true" outlineLevel="0" collapsed="false">
      <c r="A42" s="7"/>
      <c r="B42" s="7"/>
      <c r="C42" s="8"/>
      <c r="D42" s="16"/>
      <c r="E42" s="16"/>
      <c r="F42" s="16"/>
      <c r="G42" s="16"/>
      <c r="H42" s="16"/>
      <c r="I42" s="8"/>
      <c r="J42" s="8"/>
      <c r="K42" s="8"/>
      <c r="L42" s="8"/>
      <c r="M42" s="8"/>
      <c r="N42" s="8"/>
      <c r="O42" s="8"/>
    </row>
    <row r="43" customFormat="false" ht="24.75" hidden="false" customHeight="true" outlineLevel="0" collapsed="false">
      <c r="A43" s="7"/>
      <c r="B43" s="7"/>
      <c r="C43" s="8"/>
      <c r="D43" s="16"/>
      <c r="E43" s="16"/>
      <c r="F43" s="16"/>
      <c r="G43" s="16"/>
      <c r="H43" s="16"/>
      <c r="I43" s="8"/>
      <c r="J43" s="8"/>
      <c r="K43" s="8"/>
      <c r="L43" s="8"/>
      <c r="M43" s="8"/>
      <c r="N43" s="8"/>
      <c r="O43" s="8"/>
    </row>
    <row r="44" customFormat="false" ht="24.75" hidden="false" customHeight="true" outlineLevel="0" collapsed="false">
      <c r="A44" s="7"/>
      <c r="B44" s="7"/>
      <c r="C44" s="8"/>
      <c r="D44" s="16"/>
      <c r="E44" s="16"/>
      <c r="F44" s="16"/>
      <c r="G44" s="16"/>
      <c r="H44" s="16"/>
      <c r="I44" s="8"/>
      <c r="J44" s="8"/>
      <c r="K44" s="8"/>
      <c r="L44" s="8"/>
      <c r="M44" s="8"/>
      <c r="N44" s="8"/>
      <c r="O44" s="8"/>
    </row>
    <row r="45" customFormat="false" ht="24.75" hidden="false" customHeight="true" outlineLevel="0" collapsed="false">
      <c r="A45" s="7"/>
      <c r="B45" s="7"/>
      <c r="C45" s="8"/>
      <c r="D45" s="16"/>
      <c r="E45" s="16"/>
      <c r="F45" s="16"/>
      <c r="G45" s="16"/>
      <c r="H45" s="16"/>
      <c r="I45" s="8"/>
      <c r="J45" s="8"/>
      <c r="K45" s="8"/>
      <c r="L45" s="8"/>
      <c r="M45" s="8"/>
      <c r="N45" s="8"/>
      <c r="O45" s="8"/>
    </row>
    <row r="46" customFormat="false" ht="24.75" hidden="false" customHeight="true" outlineLevel="0" collapsed="false">
      <c r="A46" s="7"/>
      <c r="B46" s="7"/>
      <c r="C46" s="8"/>
      <c r="D46" s="16"/>
      <c r="E46" s="16"/>
      <c r="F46" s="16"/>
      <c r="G46" s="16"/>
      <c r="H46" s="16"/>
      <c r="I46" s="8"/>
      <c r="J46" s="8"/>
      <c r="K46" s="8"/>
      <c r="L46" s="8"/>
      <c r="M46" s="8"/>
      <c r="N46" s="8"/>
      <c r="O46" s="8"/>
    </row>
    <row r="47" customFormat="false" ht="24.75" hidden="false" customHeight="true" outlineLevel="0" collapsed="false">
      <c r="A47" s="7"/>
      <c r="B47" s="7"/>
      <c r="C47" s="8"/>
      <c r="D47" s="16"/>
      <c r="E47" s="16"/>
      <c r="F47" s="16"/>
      <c r="G47" s="16"/>
      <c r="H47" s="16"/>
      <c r="I47" s="8"/>
      <c r="J47" s="8"/>
      <c r="K47" s="8"/>
      <c r="L47" s="8"/>
      <c r="M47" s="8"/>
      <c r="N47" s="8"/>
      <c r="O47" s="8"/>
    </row>
    <row r="48" customFormat="false" ht="24.75" hidden="false" customHeight="true" outlineLevel="0" collapsed="false">
      <c r="A48" s="7"/>
      <c r="B48" s="7"/>
      <c r="C48" s="8"/>
      <c r="D48" s="16"/>
      <c r="E48" s="16"/>
      <c r="F48" s="16"/>
      <c r="G48" s="16"/>
      <c r="H48" s="16"/>
      <c r="I48" s="8"/>
      <c r="J48" s="8"/>
      <c r="K48" s="8"/>
      <c r="L48" s="8"/>
      <c r="M48" s="8"/>
      <c r="N48" s="8"/>
      <c r="O48" s="8"/>
    </row>
    <row r="49" customFormat="false" ht="24.75" hidden="false" customHeight="true" outlineLevel="0" collapsed="false">
      <c r="A49" s="7"/>
      <c r="B49" s="7"/>
      <c r="C49" s="8"/>
      <c r="D49" s="16"/>
      <c r="E49" s="16"/>
      <c r="F49" s="16"/>
      <c r="G49" s="16"/>
      <c r="H49" s="16"/>
      <c r="I49" s="8"/>
      <c r="J49" s="8"/>
      <c r="K49" s="8"/>
      <c r="L49" s="8"/>
      <c r="M49" s="8"/>
      <c r="N49" s="8"/>
      <c r="O49" s="8"/>
    </row>
    <row r="50" customFormat="false" ht="24.75" hidden="false" customHeight="true" outlineLevel="0" collapsed="false">
      <c r="A50" s="7"/>
      <c r="B50" s="7"/>
      <c r="C50" s="8"/>
      <c r="D50" s="16"/>
      <c r="E50" s="16"/>
      <c r="F50" s="16"/>
      <c r="G50" s="16"/>
      <c r="H50" s="16"/>
      <c r="I50" s="8"/>
      <c r="J50" s="8"/>
      <c r="K50" s="8"/>
      <c r="L50" s="8"/>
      <c r="M50" s="8"/>
      <c r="N50" s="8"/>
      <c r="O50" s="8"/>
    </row>
    <row r="51" customFormat="false" ht="24.75" hidden="false" customHeight="true" outlineLevel="0" collapsed="false">
      <c r="A51" s="7"/>
      <c r="B51" s="7"/>
      <c r="C51" s="8"/>
      <c r="D51" s="16"/>
      <c r="E51" s="16"/>
      <c r="F51" s="16"/>
      <c r="G51" s="16"/>
      <c r="H51" s="16"/>
      <c r="I51" s="8"/>
      <c r="J51" s="8"/>
      <c r="K51" s="8"/>
      <c r="L51" s="8"/>
      <c r="M51" s="8"/>
      <c r="N51" s="8"/>
      <c r="O51" s="8"/>
    </row>
    <row r="52" customFormat="false" ht="24.75" hidden="false" customHeight="true" outlineLevel="0" collapsed="false">
      <c r="A52" s="7"/>
      <c r="B52" s="7"/>
      <c r="C52" s="8"/>
      <c r="D52" s="16"/>
      <c r="E52" s="16"/>
      <c r="F52" s="16"/>
      <c r="G52" s="16"/>
      <c r="H52" s="16"/>
      <c r="I52" s="8"/>
      <c r="J52" s="8"/>
      <c r="K52" s="8"/>
      <c r="L52" s="8"/>
      <c r="M52" s="8"/>
      <c r="N52" s="8"/>
      <c r="O52" s="8"/>
    </row>
    <row r="53" customFormat="false" ht="24.75" hidden="false" customHeight="true" outlineLevel="0" collapsed="false">
      <c r="A53" s="7"/>
      <c r="B53" s="7"/>
      <c r="C53" s="8"/>
      <c r="D53" s="16"/>
      <c r="E53" s="16"/>
      <c r="F53" s="16"/>
      <c r="G53" s="16"/>
      <c r="H53" s="16"/>
      <c r="I53" s="8"/>
      <c r="J53" s="8"/>
      <c r="K53" s="8"/>
      <c r="L53" s="8"/>
      <c r="M53" s="8"/>
      <c r="N53" s="8"/>
      <c r="O53" s="8"/>
    </row>
    <row r="54" customFormat="false" ht="24.75" hidden="false" customHeight="true" outlineLevel="0" collapsed="false">
      <c r="A54" s="7"/>
      <c r="B54" s="7"/>
      <c r="C54" s="8"/>
      <c r="D54" s="16"/>
      <c r="E54" s="16"/>
      <c r="F54" s="16"/>
      <c r="G54" s="16"/>
      <c r="H54" s="16"/>
      <c r="I54" s="8"/>
      <c r="J54" s="8"/>
      <c r="K54" s="8"/>
      <c r="L54" s="8"/>
      <c r="M54" s="8"/>
      <c r="N54" s="8"/>
      <c r="O54" s="8"/>
    </row>
    <row r="55" customFormat="false" ht="24.75" hidden="false" customHeight="true" outlineLevel="0" collapsed="false">
      <c r="A55" s="7"/>
      <c r="B55" s="7"/>
      <c r="C55" s="8"/>
      <c r="D55" s="16"/>
      <c r="E55" s="16"/>
      <c r="F55" s="16"/>
      <c r="G55" s="16"/>
      <c r="H55" s="16"/>
      <c r="I55" s="8"/>
      <c r="J55" s="8"/>
      <c r="K55" s="8"/>
      <c r="L55" s="8"/>
      <c r="M55" s="8"/>
      <c r="N55" s="8"/>
      <c r="O55" s="8"/>
    </row>
    <row r="56" customFormat="false" ht="24.75" hidden="false" customHeight="true" outlineLevel="0" collapsed="false">
      <c r="A56" s="7"/>
      <c r="B56" s="7"/>
      <c r="C56" s="8"/>
      <c r="D56" s="16"/>
      <c r="E56" s="16"/>
      <c r="F56" s="16"/>
      <c r="G56" s="16"/>
      <c r="H56" s="16"/>
      <c r="I56" s="8"/>
      <c r="J56" s="8"/>
      <c r="K56" s="8"/>
      <c r="L56" s="8"/>
      <c r="M56" s="8"/>
      <c r="N56" s="8"/>
      <c r="O56" s="8"/>
    </row>
    <row r="57" customFormat="false" ht="24.75" hidden="false" customHeight="true" outlineLevel="0" collapsed="false">
      <c r="A57" s="7"/>
      <c r="B57" s="7"/>
      <c r="C57" s="8"/>
      <c r="D57" s="16"/>
      <c r="E57" s="16"/>
      <c r="F57" s="16"/>
      <c r="G57" s="16"/>
      <c r="H57" s="16"/>
      <c r="I57" s="8"/>
      <c r="J57" s="8"/>
      <c r="K57" s="8"/>
      <c r="L57" s="8"/>
      <c r="M57" s="8"/>
      <c r="N57" s="8"/>
      <c r="O57" s="8"/>
    </row>
    <row r="58" customFormat="false" ht="24.75" hidden="false" customHeight="true" outlineLevel="0" collapsed="false">
      <c r="A58" s="7"/>
      <c r="B58" s="7"/>
      <c r="C58" s="8"/>
      <c r="D58" s="16"/>
      <c r="E58" s="16"/>
      <c r="F58" s="16"/>
      <c r="G58" s="16"/>
      <c r="H58" s="16"/>
      <c r="I58" s="8"/>
      <c r="J58" s="8"/>
      <c r="K58" s="8"/>
      <c r="L58" s="8"/>
      <c r="M58" s="8"/>
      <c r="N58" s="8"/>
      <c r="O58" s="8"/>
    </row>
    <row r="59" customFormat="false" ht="24.75" hidden="false" customHeight="true" outlineLevel="0" collapsed="false">
      <c r="A59" s="7"/>
      <c r="B59" s="7"/>
      <c r="C59" s="8"/>
      <c r="D59" s="16"/>
      <c r="E59" s="16"/>
      <c r="F59" s="16"/>
      <c r="G59" s="16"/>
      <c r="H59" s="16"/>
      <c r="I59" s="8"/>
      <c r="J59" s="8"/>
      <c r="K59" s="8"/>
      <c r="L59" s="8"/>
      <c r="M59" s="8"/>
      <c r="N59" s="8"/>
      <c r="O59" s="8"/>
    </row>
    <row r="60" customFormat="false" ht="24.75" hidden="false" customHeight="true" outlineLevel="0" collapsed="false">
      <c r="A60" s="7"/>
      <c r="B60" s="7"/>
      <c r="C60" s="8"/>
      <c r="D60" s="16"/>
      <c r="E60" s="16"/>
      <c r="F60" s="16"/>
      <c r="G60" s="16"/>
      <c r="H60" s="16"/>
      <c r="I60" s="8"/>
      <c r="J60" s="8"/>
      <c r="K60" s="8"/>
      <c r="L60" s="8"/>
      <c r="M60" s="8"/>
      <c r="N60" s="8"/>
      <c r="O60" s="8"/>
    </row>
    <row r="61" customFormat="false" ht="24.75" hidden="false" customHeight="true" outlineLevel="0" collapsed="false">
      <c r="A61" s="7"/>
      <c r="B61" s="7"/>
      <c r="C61" s="8"/>
      <c r="D61" s="16"/>
      <c r="E61" s="16"/>
      <c r="F61" s="16"/>
      <c r="G61" s="16"/>
      <c r="H61" s="16"/>
      <c r="I61" s="8"/>
      <c r="J61" s="8"/>
      <c r="K61" s="8"/>
      <c r="L61" s="8"/>
      <c r="M61" s="8"/>
      <c r="N61" s="8"/>
      <c r="O61" s="8"/>
    </row>
    <row r="62" customFormat="false" ht="24.75" hidden="false" customHeight="true" outlineLevel="0" collapsed="false">
      <c r="A62" s="7"/>
      <c r="B62" s="7"/>
      <c r="C62" s="8"/>
      <c r="D62" s="16"/>
      <c r="E62" s="16"/>
      <c r="F62" s="16"/>
      <c r="G62" s="16"/>
      <c r="H62" s="16"/>
      <c r="I62" s="8"/>
      <c r="J62" s="8"/>
      <c r="K62" s="8"/>
      <c r="L62" s="8"/>
      <c r="M62" s="8"/>
      <c r="N62" s="8"/>
      <c r="O62" s="8"/>
    </row>
    <row r="63" customFormat="false" ht="24.75" hidden="false" customHeight="true" outlineLevel="0" collapsed="false">
      <c r="A63" s="7"/>
      <c r="B63" s="7"/>
      <c r="C63" s="8"/>
      <c r="D63" s="16"/>
      <c r="E63" s="16"/>
      <c r="F63" s="16"/>
      <c r="G63" s="16"/>
      <c r="H63" s="16"/>
      <c r="I63" s="8"/>
      <c r="J63" s="8"/>
      <c r="K63" s="8"/>
      <c r="L63" s="8"/>
      <c r="M63" s="8"/>
      <c r="N63" s="8"/>
      <c r="O63" s="8"/>
    </row>
    <row r="64" customFormat="false" ht="24.75" hidden="false" customHeight="true" outlineLevel="0" collapsed="false">
      <c r="A64" s="7"/>
      <c r="B64" s="7"/>
      <c r="C64" s="8"/>
      <c r="D64" s="16"/>
      <c r="E64" s="16"/>
      <c r="F64" s="16"/>
      <c r="G64" s="16"/>
      <c r="H64" s="16"/>
      <c r="I64" s="8"/>
      <c r="J64" s="8"/>
      <c r="K64" s="8"/>
      <c r="L64" s="8"/>
      <c r="M64" s="8"/>
      <c r="N64" s="8"/>
      <c r="O64" s="8"/>
    </row>
    <row r="65" customFormat="false" ht="24.75" hidden="false" customHeight="true" outlineLevel="0" collapsed="false">
      <c r="A65" s="7"/>
      <c r="B65" s="7"/>
      <c r="C65" s="8"/>
      <c r="D65" s="16"/>
      <c r="E65" s="16"/>
      <c r="F65" s="16"/>
      <c r="G65" s="16"/>
      <c r="H65" s="16"/>
      <c r="I65" s="8"/>
      <c r="J65" s="8"/>
      <c r="K65" s="8"/>
      <c r="L65" s="8"/>
      <c r="M65" s="8"/>
      <c r="N65" s="8"/>
      <c r="O65" s="8"/>
    </row>
    <row r="66" customFormat="false" ht="24.75" hidden="false" customHeight="true" outlineLevel="0" collapsed="false">
      <c r="A66" s="7"/>
      <c r="B66" s="7"/>
      <c r="C66" s="8"/>
      <c r="D66" s="16"/>
      <c r="E66" s="16"/>
      <c r="F66" s="16"/>
      <c r="G66" s="16"/>
      <c r="H66" s="16"/>
      <c r="I66" s="8"/>
      <c r="J66" s="8"/>
      <c r="K66" s="8"/>
      <c r="L66" s="8"/>
      <c r="M66" s="8"/>
      <c r="N66" s="8"/>
      <c r="O66" s="8"/>
    </row>
    <row r="67" customFormat="false" ht="24.75" hidden="false" customHeight="true" outlineLevel="0" collapsed="false">
      <c r="A67" s="7"/>
      <c r="B67" s="7"/>
      <c r="C67" s="8"/>
      <c r="D67" s="16"/>
      <c r="E67" s="16"/>
      <c r="F67" s="16"/>
      <c r="G67" s="16"/>
      <c r="H67" s="16"/>
      <c r="I67" s="8"/>
      <c r="J67" s="8"/>
      <c r="K67" s="8"/>
      <c r="L67" s="8"/>
      <c r="M67" s="8"/>
      <c r="N67" s="8"/>
      <c r="O67" s="8"/>
    </row>
    <row r="68" customFormat="false" ht="24.75" hidden="false" customHeight="true" outlineLevel="0" collapsed="false">
      <c r="A68" s="7"/>
      <c r="B68" s="7"/>
      <c r="C68" s="8"/>
      <c r="D68" s="16"/>
      <c r="E68" s="16"/>
      <c r="F68" s="16"/>
      <c r="G68" s="16"/>
      <c r="H68" s="16"/>
      <c r="I68" s="8"/>
      <c r="J68" s="8"/>
      <c r="K68" s="8"/>
      <c r="L68" s="8"/>
      <c r="M68" s="8"/>
      <c r="N68" s="8"/>
      <c r="O68" s="8"/>
    </row>
    <row r="69" customFormat="false" ht="24.75" hidden="false" customHeight="true" outlineLevel="0" collapsed="false">
      <c r="A69" s="7"/>
      <c r="B69" s="7"/>
      <c r="C69" s="8"/>
      <c r="D69" s="16"/>
      <c r="E69" s="16"/>
      <c r="F69" s="16"/>
      <c r="G69" s="16"/>
      <c r="H69" s="16"/>
      <c r="I69" s="8"/>
      <c r="J69" s="8"/>
      <c r="K69" s="8"/>
      <c r="L69" s="8"/>
      <c r="M69" s="8"/>
      <c r="N69" s="8"/>
      <c r="O69" s="8"/>
    </row>
    <row r="70" customFormat="false" ht="24.75" hidden="false" customHeight="true" outlineLevel="0" collapsed="false">
      <c r="A70" s="7"/>
      <c r="B70" s="7"/>
      <c r="C70" s="8"/>
      <c r="D70" s="16"/>
      <c r="E70" s="16"/>
      <c r="F70" s="16"/>
      <c r="G70" s="16"/>
      <c r="H70" s="16"/>
      <c r="I70" s="8"/>
      <c r="J70" s="8"/>
      <c r="K70" s="8"/>
      <c r="L70" s="8"/>
      <c r="M70" s="8"/>
      <c r="N70" s="8"/>
      <c r="O70" s="8"/>
    </row>
    <row r="71" customFormat="false" ht="24.75" hidden="false" customHeight="true" outlineLevel="0" collapsed="false">
      <c r="A71" s="7"/>
      <c r="B71" s="7"/>
      <c r="C71" s="8"/>
      <c r="D71" s="16"/>
      <c r="E71" s="16"/>
      <c r="F71" s="16"/>
      <c r="G71" s="16"/>
      <c r="H71" s="16"/>
      <c r="I71" s="8"/>
      <c r="J71" s="8"/>
      <c r="K71" s="8"/>
      <c r="L71" s="8"/>
      <c r="M71" s="8"/>
      <c r="N71" s="8"/>
      <c r="O71" s="8"/>
    </row>
    <row r="72" customFormat="false" ht="24.75" hidden="false" customHeight="true" outlineLevel="0" collapsed="false">
      <c r="A72" s="7"/>
      <c r="B72" s="7"/>
      <c r="C72" s="8"/>
      <c r="D72" s="16"/>
      <c r="E72" s="16"/>
      <c r="F72" s="16"/>
      <c r="G72" s="16"/>
      <c r="H72" s="16"/>
      <c r="I72" s="8"/>
      <c r="J72" s="8"/>
      <c r="K72" s="8"/>
      <c r="L72" s="8"/>
      <c r="M72" s="8"/>
      <c r="N72" s="8"/>
      <c r="O72" s="8"/>
    </row>
    <row r="73" customFormat="false" ht="24.75" hidden="false" customHeight="true" outlineLevel="0" collapsed="false">
      <c r="A73" s="7"/>
      <c r="B73" s="7"/>
      <c r="C73" s="8"/>
      <c r="D73" s="16"/>
      <c r="E73" s="16"/>
      <c r="F73" s="16"/>
      <c r="G73" s="16"/>
      <c r="H73" s="16"/>
      <c r="I73" s="8"/>
      <c r="J73" s="8"/>
      <c r="K73" s="8"/>
      <c r="L73" s="8"/>
      <c r="M73" s="8"/>
      <c r="N73" s="8"/>
      <c r="O73" s="8"/>
    </row>
    <row r="74" customFormat="false" ht="24.75" hidden="false" customHeight="true" outlineLevel="0" collapsed="false">
      <c r="A74" s="7"/>
      <c r="B74" s="7"/>
      <c r="C74" s="8"/>
      <c r="D74" s="16"/>
      <c r="E74" s="16"/>
      <c r="F74" s="16"/>
      <c r="G74" s="16"/>
      <c r="H74" s="16"/>
      <c r="I74" s="8"/>
      <c r="J74" s="8"/>
      <c r="K74" s="8"/>
      <c r="L74" s="8"/>
      <c r="M74" s="8"/>
      <c r="N74" s="8"/>
      <c r="O74" s="8"/>
    </row>
    <row r="75" customFormat="false" ht="24.75" hidden="false" customHeight="true" outlineLevel="0" collapsed="false">
      <c r="A75" s="7"/>
      <c r="B75" s="7"/>
      <c r="C75" s="8"/>
      <c r="D75" s="16"/>
      <c r="E75" s="16"/>
      <c r="F75" s="16"/>
      <c r="G75" s="16"/>
      <c r="H75" s="16"/>
      <c r="I75" s="8"/>
      <c r="J75" s="8"/>
      <c r="K75" s="8"/>
      <c r="L75" s="8"/>
      <c r="M75" s="8"/>
      <c r="N75" s="8"/>
      <c r="O75" s="8"/>
    </row>
    <row r="76" customFormat="false" ht="24.75" hidden="false" customHeight="true" outlineLevel="0" collapsed="false">
      <c r="A76" s="7"/>
      <c r="B76" s="7"/>
      <c r="C76" s="8"/>
      <c r="D76" s="16"/>
      <c r="E76" s="16"/>
      <c r="F76" s="16"/>
      <c r="G76" s="16"/>
      <c r="H76" s="16"/>
      <c r="I76" s="8"/>
      <c r="J76" s="8"/>
      <c r="K76" s="8"/>
      <c r="L76" s="8"/>
      <c r="M76" s="8"/>
      <c r="N76" s="8"/>
      <c r="O76" s="8"/>
    </row>
    <row r="77" customFormat="false" ht="24.75" hidden="false" customHeight="true" outlineLevel="0" collapsed="false">
      <c r="A77" s="7"/>
      <c r="B77" s="7"/>
      <c r="C77" s="8"/>
      <c r="D77" s="16"/>
      <c r="E77" s="16"/>
      <c r="F77" s="16"/>
      <c r="G77" s="16"/>
      <c r="H77" s="16"/>
      <c r="I77" s="8"/>
      <c r="J77" s="8"/>
      <c r="K77" s="8"/>
      <c r="L77" s="8"/>
      <c r="M77" s="8"/>
      <c r="N77" s="8"/>
      <c r="O77" s="8"/>
    </row>
    <row r="78" customFormat="false" ht="24.75" hidden="false" customHeight="true" outlineLevel="0" collapsed="false">
      <c r="A78" s="7"/>
      <c r="B78" s="7"/>
      <c r="C78" s="8"/>
      <c r="D78" s="16"/>
      <c r="E78" s="16"/>
      <c r="F78" s="16"/>
      <c r="G78" s="16"/>
      <c r="H78" s="16"/>
      <c r="I78" s="8"/>
      <c r="J78" s="8"/>
      <c r="K78" s="8"/>
      <c r="L78" s="8"/>
      <c r="M78" s="8"/>
      <c r="N78" s="8"/>
      <c r="O78" s="8"/>
    </row>
    <row r="79" customFormat="false" ht="24.75" hidden="false" customHeight="true" outlineLevel="0" collapsed="false">
      <c r="A79" s="7"/>
      <c r="B79" s="7"/>
      <c r="C79" s="8"/>
      <c r="D79" s="16"/>
      <c r="E79" s="16"/>
      <c r="F79" s="16"/>
      <c r="G79" s="16"/>
      <c r="H79" s="16"/>
      <c r="I79" s="8"/>
      <c r="J79" s="8"/>
      <c r="K79" s="8"/>
      <c r="L79" s="8"/>
      <c r="M79" s="8"/>
      <c r="N79" s="8"/>
      <c r="O79" s="8"/>
    </row>
    <row r="80" customFormat="false" ht="24.75" hidden="false" customHeight="true" outlineLevel="0" collapsed="false">
      <c r="A80" s="7"/>
      <c r="B80" s="7"/>
      <c r="C80" s="8"/>
      <c r="D80" s="16"/>
      <c r="E80" s="16"/>
      <c r="F80" s="16"/>
      <c r="G80" s="16"/>
      <c r="H80" s="16"/>
      <c r="I80" s="8"/>
      <c r="J80" s="8"/>
      <c r="K80" s="8"/>
      <c r="L80" s="8"/>
      <c r="M80" s="8"/>
      <c r="N80" s="8"/>
      <c r="O80" s="8"/>
    </row>
    <row r="81" customFormat="false" ht="24.75" hidden="false" customHeight="true" outlineLevel="0" collapsed="false">
      <c r="A81" s="7"/>
      <c r="B81" s="7"/>
      <c r="C81" s="8"/>
      <c r="D81" s="16"/>
      <c r="E81" s="16"/>
      <c r="F81" s="16"/>
      <c r="G81" s="16"/>
      <c r="H81" s="16"/>
      <c r="I81" s="8"/>
      <c r="J81" s="8"/>
      <c r="K81" s="8"/>
      <c r="L81" s="8"/>
      <c r="M81" s="8"/>
      <c r="N81" s="8"/>
      <c r="O81" s="8"/>
    </row>
    <row r="82" customFormat="false" ht="24.75" hidden="false" customHeight="true" outlineLevel="0" collapsed="false">
      <c r="A82" s="7"/>
      <c r="B82" s="7"/>
      <c r="C82" s="8"/>
      <c r="D82" s="16"/>
      <c r="E82" s="16"/>
      <c r="F82" s="16"/>
      <c r="G82" s="16"/>
      <c r="H82" s="16"/>
      <c r="I82" s="8"/>
      <c r="J82" s="8"/>
      <c r="K82" s="8"/>
      <c r="L82" s="8"/>
      <c r="M82" s="8"/>
      <c r="N82" s="8"/>
      <c r="O82" s="8"/>
    </row>
    <row r="83" customFormat="false" ht="24.75" hidden="false" customHeight="true" outlineLevel="0" collapsed="false">
      <c r="A83" s="7"/>
      <c r="B83" s="7"/>
      <c r="C83" s="8"/>
      <c r="D83" s="16"/>
      <c r="E83" s="16"/>
      <c r="F83" s="16"/>
      <c r="G83" s="16"/>
      <c r="H83" s="16"/>
      <c r="I83" s="8"/>
      <c r="J83" s="8"/>
      <c r="K83" s="8"/>
      <c r="L83" s="8"/>
      <c r="M83" s="8"/>
      <c r="N83" s="8"/>
      <c r="O83" s="8"/>
    </row>
    <row r="84" customFormat="false" ht="24.75" hidden="false" customHeight="true" outlineLevel="0" collapsed="false">
      <c r="A84" s="7"/>
      <c r="B84" s="7"/>
      <c r="C84" s="8"/>
      <c r="D84" s="16"/>
      <c r="E84" s="16"/>
      <c r="F84" s="16"/>
      <c r="G84" s="16"/>
      <c r="H84" s="16"/>
      <c r="I84" s="8"/>
      <c r="J84" s="8"/>
      <c r="K84" s="8"/>
      <c r="L84" s="8"/>
      <c r="M84" s="8"/>
      <c r="N84" s="8"/>
      <c r="O84" s="8"/>
    </row>
    <row r="85" customFormat="false" ht="24.75" hidden="false" customHeight="true" outlineLevel="0" collapsed="false">
      <c r="A85" s="7"/>
      <c r="B85" s="7"/>
      <c r="C85" s="8"/>
      <c r="D85" s="16"/>
      <c r="E85" s="16"/>
      <c r="F85" s="16"/>
      <c r="G85" s="16"/>
      <c r="H85" s="16"/>
      <c r="I85" s="8"/>
      <c r="J85" s="8"/>
      <c r="K85" s="8"/>
      <c r="L85" s="8"/>
      <c r="M85" s="8"/>
      <c r="N85" s="8"/>
      <c r="O85" s="8"/>
    </row>
    <row r="86" customFormat="false" ht="24.75" hidden="false" customHeight="true" outlineLevel="0" collapsed="false">
      <c r="A86" s="7"/>
      <c r="B86" s="7"/>
      <c r="C86" s="8"/>
      <c r="D86" s="16"/>
      <c r="E86" s="16"/>
      <c r="F86" s="16"/>
      <c r="G86" s="16"/>
      <c r="H86" s="16"/>
      <c r="I86" s="8"/>
      <c r="J86" s="8"/>
      <c r="K86" s="8"/>
      <c r="L86" s="8"/>
      <c r="M86" s="8"/>
      <c r="N86" s="8"/>
      <c r="O86" s="8"/>
    </row>
    <row r="87" customFormat="false" ht="24.75" hidden="false" customHeight="true" outlineLevel="0" collapsed="false">
      <c r="A87" s="7"/>
      <c r="B87" s="7"/>
      <c r="C87" s="8"/>
      <c r="D87" s="16"/>
      <c r="E87" s="16"/>
      <c r="F87" s="16"/>
      <c r="G87" s="16"/>
      <c r="H87" s="16"/>
      <c r="I87" s="8"/>
      <c r="J87" s="8"/>
      <c r="K87" s="8"/>
      <c r="L87" s="8"/>
      <c r="M87" s="8"/>
      <c r="N87" s="8"/>
      <c r="O87" s="8"/>
    </row>
    <row r="88" customFormat="false" ht="24.75" hidden="false" customHeight="true" outlineLevel="0" collapsed="false">
      <c r="A88" s="7"/>
      <c r="B88" s="7"/>
      <c r="C88" s="8"/>
      <c r="D88" s="16"/>
      <c r="E88" s="16"/>
      <c r="F88" s="16"/>
      <c r="G88" s="16"/>
      <c r="H88" s="16"/>
      <c r="I88" s="8"/>
      <c r="J88" s="8"/>
      <c r="K88" s="8"/>
      <c r="L88" s="8"/>
      <c r="M88" s="8"/>
      <c r="N88" s="8"/>
      <c r="O88" s="8"/>
    </row>
    <row r="89" customFormat="false" ht="24.75" hidden="false" customHeight="true" outlineLevel="0" collapsed="false">
      <c r="A89" s="7"/>
      <c r="B89" s="7"/>
      <c r="C89" s="8"/>
      <c r="D89" s="16"/>
      <c r="E89" s="16"/>
      <c r="F89" s="16"/>
      <c r="G89" s="16"/>
      <c r="H89" s="16"/>
      <c r="I89" s="8"/>
      <c r="J89" s="8"/>
      <c r="K89" s="8"/>
      <c r="L89" s="8"/>
      <c r="M89" s="8"/>
      <c r="N89" s="8"/>
      <c r="O89" s="8"/>
    </row>
    <row r="90" customFormat="false" ht="24.75" hidden="false" customHeight="true" outlineLevel="0" collapsed="false">
      <c r="A90" s="7"/>
      <c r="B90" s="7"/>
      <c r="C90" s="8"/>
      <c r="D90" s="16"/>
      <c r="E90" s="16"/>
      <c r="F90" s="16"/>
      <c r="G90" s="16"/>
      <c r="H90" s="16"/>
      <c r="I90" s="8"/>
      <c r="J90" s="8"/>
      <c r="K90" s="8"/>
      <c r="L90" s="8"/>
      <c r="M90" s="8"/>
      <c r="N90" s="8"/>
      <c r="O90" s="8"/>
    </row>
    <row r="91" customFormat="false" ht="24.75" hidden="false" customHeight="true" outlineLevel="0" collapsed="false">
      <c r="A91" s="7"/>
      <c r="B91" s="7"/>
      <c r="C91" s="8"/>
      <c r="D91" s="16"/>
      <c r="E91" s="16"/>
      <c r="F91" s="16"/>
      <c r="G91" s="16"/>
      <c r="H91" s="16"/>
      <c r="I91" s="8"/>
      <c r="J91" s="8"/>
      <c r="K91" s="8"/>
      <c r="L91" s="8"/>
      <c r="M91" s="8"/>
      <c r="N91" s="8"/>
      <c r="O91" s="8"/>
    </row>
    <row r="92" customFormat="false" ht="24.75" hidden="false" customHeight="true" outlineLevel="0" collapsed="false">
      <c r="A92" s="7"/>
      <c r="B92" s="7"/>
      <c r="C92" s="8"/>
      <c r="D92" s="16"/>
      <c r="E92" s="16"/>
      <c r="F92" s="16"/>
      <c r="G92" s="16"/>
      <c r="H92" s="16"/>
      <c r="I92" s="8"/>
      <c r="J92" s="8"/>
      <c r="K92" s="8"/>
      <c r="L92" s="8"/>
      <c r="M92" s="8"/>
      <c r="N92" s="8"/>
      <c r="O92" s="8"/>
    </row>
    <row r="93" customFormat="false" ht="24.75" hidden="false" customHeight="true" outlineLevel="0" collapsed="false">
      <c r="A93" s="7"/>
      <c r="B93" s="7"/>
      <c r="C93" s="8"/>
      <c r="D93" s="16"/>
      <c r="E93" s="16"/>
      <c r="F93" s="16"/>
      <c r="G93" s="16"/>
      <c r="H93" s="16"/>
      <c r="I93" s="8"/>
      <c r="J93" s="8"/>
      <c r="K93" s="8"/>
      <c r="L93" s="8"/>
      <c r="M93" s="8"/>
      <c r="N93" s="8"/>
      <c r="O93" s="8"/>
    </row>
    <row r="94" customFormat="false" ht="24.75" hidden="false" customHeight="true" outlineLevel="0" collapsed="false">
      <c r="A94" s="7"/>
      <c r="B94" s="7"/>
      <c r="C94" s="8"/>
      <c r="D94" s="16"/>
      <c r="E94" s="16"/>
      <c r="F94" s="16"/>
      <c r="G94" s="16"/>
      <c r="H94" s="16"/>
      <c r="I94" s="8"/>
      <c r="J94" s="8"/>
      <c r="K94" s="8"/>
      <c r="L94" s="8"/>
      <c r="M94" s="8"/>
      <c r="N94" s="8"/>
      <c r="O94" s="8"/>
    </row>
    <row r="95" customFormat="false" ht="24.75" hidden="false" customHeight="true" outlineLevel="0" collapsed="false">
      <c r="A95" s="7"/>
      <c r="B95" s="7"/>
      <c r="C95" s="8"/>
      <c r="D95" s="16"/>
      <c r="E95" s="16"/>
      <c r="F95" s="16"/>
      <c r="G95" s="16"/>
      <c r="H95" s="16"/>
      <c r="I95" s="8"/>
      <c r="J95" s="8"/>
      <c r="K95" s="8"/>
      <c r="L95" s="8"/>
      <c r="M95" s="8"/>
      <c r="N95" s="8"/>
      <c r="O95" s="8"/>
    </row>
    <row r="96" customFormat="false" ht="24.75" hidden="false" customHeight="true" outlineLevel="0" collapsed="false">
      <c r="A96" s="7"/>
      <c r="B96" s="7"/>
      <c r="C96" s="8"/>
      <c r="D96" s="16"/>
      <c r="E96" s="16"/>
      <c r="F96" s="16"/>
      <c r="G96" s="16"/>
      <c r="H96" s="16"/>
      <c r="I96" s="8"/>
      <c r="J96" s="8"/>
      <c r="K96" s="8"/>
      <c r="L96" s="8"/>
      <c r="M96" s="8"/>
      <c r="N96" s="8"/>
      <c r="O96" s="8"/>
    </row>
    <row r="97" customFormat="false" ht="24.75" hidden="false" customHeight="true" outlineLevel="0" collapsed="false">
      <c r="A97" s="7"/>
      <c r="B97" s="7"/>
      <c r="C97" s="8"/>
      <c r="D97" s="16"/>
      <c r="E97" s="16"/>
      <c r="F97" s="16"/>
      <c r="G97" s="16"/>
      <c r="H97" s="16"/>
      <c r="I97" s="8"/>
      <c r="J97" s="8"/>
      <c r="K97" s="8"/>
      <c r="L97" s="8"/>
      <c r="M97" s="8"/>
      <c r="N97" s="8"/>
      <c r="O97" s="8"/>
    </row>
    <row r="98" customFormat="false" ht="24.75" hidden="false" customHeight="true" outlineLevel="0" collapsed="false">
      <c r="A98" s="7"/>
      <c r="B98" s="7"/>
      <c r="C98" s="8"/>
      <c r="D98" s="16"/>
      <c r="E98" s="16"/>
      <c r="F98" s="16"/>
      <c r="G98" s="16"/>
      <c r="H98" s="16"/>
      <c r="I98" s="8"/>
      <c r="J98" s="8"/>
      <c r="K98" s="8"/>
      <c r="L98" s="8"/>
      <c r="M98" s="8"/>
      <c r="N98" s="8"/>
      <c r="O98" s="8"/>
    </row>
    <row r="99" customFormat="false" ht="24.75" hidden="false" customHeight="true" outlineLevel="0" collapsed="false">
      <c r="A99" s="7"/>
      <c r="B99" s="7"/>
      <c r="C99" s="8"/>
      <c r="D99" s="16"/>
      <c r="E99" s="16"/>
      <c r="F99" s="16"/>
      <c r="G99" s="16"/>
      <c r="H99" s="16"/>
      <c r="I99" s="8"/>
      <c r="J99" s="8"/>
      <c r="K99" s="8"/>
      <c r="L99" s="8"/>
      <c r="M99" s="8"/>
      <c r="N99" s="8"/>
      <c r="O99" s="8"/>
    </row>
    <row r="100" customFormat="false" ht="24.75" hidden="false" customHeight="true" outlineLevel="0" collapsed="false">
      <c r="A100" s="7"/>
      <c r="B100" s="7"/>
      <c r="C100" s="8"/>
      <c r="D100" s="16"/>
      <c r="E100" s="16"/>
      <c r="F100" s="16"/>
      <c r="G100" s="16"/>
      <c r="H100" s="16"/>
      <c r="I100" s="8"/>
      <c r="J100" s="8"/>
      <c r="K100" s="8"/>
      <c r="L100" s="8"/>
      <c r="M100" s="8"/>
      <c r="N100" s="8"/>
      <c r="O100" s="8"/>
    </row>
    <row r="101" customFormat="false" ht="24.75" hidden="false" customHeight="true" outlineLevel="0" collapsed="false">
      <c r="A101" s="7"/>
      <c r="B101" s="7"/>
      <c r="C101" s="8"/>
      <c r="D101" s="16"/>
      <c r="E101" s="16"/>
      <c r="F101" s="16"/>
      <c r="G101" s="16"/>
      <c r="H101" s="16"/>
      <c r="I101" s="8"/>
      <c r="J101" s="8"/>
      <c r="K101" s="8"/>
      <c r="L101" s="8"/>
      <c r="M101" s="8"/>
      <c r="N101" s="8"/>
      <c r="O101" s="8"/>
    </row>
    <row r="102" customFormat="false" ht="24.75" hidden="false" customHeight="true" outlineLevel="0" collapsed="false">
      <c r="A102" s="7"/>
      <c r="B102" s="7"/>
      <c r="C102" s="8"/>
      <c r="D102" s="16"/>
      <c r="E102" s="16"/>
      <c r="F102" s="16"/>
      <c r="G102" s="16"/>
      <c r="H102" s="16"/>
      <c r="I102" s="8"/>
      <c r="J102" s="8"/>
      <c r="K102" s="8"/>
      <c r="L102" s="8"/>
      <c r="M102" s="8"/>
      <c r="N102" s="8"/>
      <c r="O102" s="8"/>
    </row>
    <row r="103" customFormat="false" ht="24.75" hidden="false" customHeight="true" outlineLevel="0" collapsed="false">
      <c r="A103" s="7"/>
      <c r="B103" s="7"/>
      <c r="C103" s="8"/>
      <c r="D103" s="16"/>
      <c r="E103" s="16"/>
      <c r="F103" s="16"/>
      <c r="G103" s="16"/>
      <c r="H103" s="16"/>
      <c r="I103" s="8"/>
      <c r="J103" s="8"/>
      <c r="K103" s="8"/>
      <c r="L103" s="8"/>
      <c r="M103" s="8"/>
      <c r="N103" s="8"/>
      <c r="O103" s="8"/>
    </row>
    <row r="104" customFormat="false" ht="24.75" hidden="false" customHeight="true" outlineLevel="0" collapsed="false">
      <c r="A104" s="7"/>
      <c r="B104" s="7"/>
      <c r="C104" s="8"/>
      <c r="D104" s="16"/>
      <c r="E104" s="16"/>
      <c r="F104" s="16"/>
      <c r="G104" s="16"/>
      <c r="H104" s="16"/>
      <c r="I104" s="8"/>
      <c r="J104" s="8"/>
      <c r="K104" s="8"/>
      <c r="L104" s="8"/>
      <c r="M104" s="8"/>
      <c r="N104" s="8"/>
      <c r="O104" s="8"/>
    </row>
    <row r="105" customFormat="false" ht="24.75" hidden="false" customHeight="true" outlineLevel="0" collapsed="false">
      <c r="A105" s="7"/>
      <c r="B105" s="7"/>
      <c r="C105" s="8"/>
      <c r="D105" s="16"/>
      <c r="E105" s="16"/>
      <c r="F105" s="16"/>
      <c r="G105" s="16"/>
      <c r="H105" s="16"/>
      <c r="I105" s="8"/>
      <c r="J105" s="8"/>
      <c r="K105" s="8"/>
      <c r="L105" s="8"/>
      <c r="M105" s="8"/>
      <c r="N105" s="8"/>
      <c r="O105" s="8"/>
    </row>
    <row r="106" customFormat="false" ht="24.75" hidden="false" customHeight="true" outlineLevel="0" collapsed="false">
      <c r="A106" s="7"/>
      <c r="B106" s="7"/>
      <c r="C106" s="8"/>
      <c r="D106" s="16"/>
      <c r="E106" s="16"/>
      <c r="F106" s="16"/>
      <c r="G106" s="16"/>
      <c r="H106" s="16"/>
      <c r="I106" s="8"/>
      <c r="J106" s="8"/>
      <c r="K106" s="8"/>
      <c r="L106" s="8"/>
      <c r="M106" s="8"/>
      <c r="N106" s="8"/>
      <c r="O106" s="8"/>
    </row>
    <row r="107" customFormat="false" ht="24.75" hidden="false" customHeight="true" outlineLevel="0" collapsed="false">
      <c r="A107" s="7"/>
      <c r="B107" s="7"/>
      <c r="C107" s="8"/>
      <c r="D107" s="16"/>
      <c r="E107" s="16"/>
      <c r="F107" s="16"/>
      <c r="G107" s="16"/>
      <c r="H107" s="16"/>
      <c r="I107" s="8"/>
      <c r="J107" s="8"/>
      <c r="K107" s="8"/>
      <c r="L107" s="8"/>
      <c r="M107" s="8"/>
      <c r="N107" s="8"/>
      <c r="O107" s="8"/>
    </row>
    <row r="108" customFormat="false" ht="24.75" hidden="false" customHeight="true" outlineLevel="0" collapsed="false">
      <c r="A108" s="7"/>
      <c r="B108" s="7"/>
      <c r="C108" s="8"/>
      <c r="D108" s="16"/>
      <c r="E108" s="16"/>
      <c r="F108" s="16"/>
      <c r="G108" s="16"/>
      <c r="H108" s="16"/>
      <c r="I108" s="8"/>
      <c r="J108" s="8"/>
      <c r="K108" s="8"/>
      <c r="L108" s="8"/>
      <c r="M108" s="8"/>
      <c r="N108" s="8"/>
      <c r="O108" s="8"/>
    </row>
    <row r="109" customFormat="false" ht="24.75" hidden="false" customHeight="true" outlineLevel="0" collapsed="false">
      <c r="A109" s="7"/>
      <c r="B109" s="7"/>
      <c r="C109" s="8"/>
      <c r="D109" s="16"/>
      <c r="E109" s="16"/>
      <c r="F109" s="16"/>
      <c r="G109" s="16"/>
      <c r="H109" s="16"/>
      <c r="I109" s="8"/>
      <c r="J109" s="8"/>
      <c r="K109" s="8"/>
      <c r="L109" s="8"/>
      <c r="M109" s="8"/>
      <c r="N109" s="8"/>
      <c r="O109" s="8"/>
    </row>
    <row r="110" customFormat="false" ht="24.75" hidden="false" customHeight="true" outlineLevel="0" collapsed="false">
      <c r="A110" s="7"/>
      <c r="B110" s="7"/>
      <c r="C110" s="8"/>
      <c r="D110" s="16"/>
      <c r="E110" s="16"/>
      <c r="F110" s="16"/>
      <c r="G110" s="16"/>
      <c r="H110" s="16"/>
      <c r="I110" s="8"/>
      <c r="J110" s="8"/>
      <c r="K110" s="8"/>
      <c r="L110" s="8"/>
      <c r="M110" s="8"/>
      <c r="N110" s="8"/>
      <c r="O110" s="8"/>
    </row>
    <row r="111" customFormat="false" ht="24.75" hidden="false" customHeight="true" outlineLevel="0" collapsed="false">
      <c r="A111" s="7"/>
      <c r="B111" s="7"/>
      <c r="C111" s="8"/>
      <c r="D111" s="16"/>
      <c r="E111" s="16"/>
      <c r="F111" s="16"/>
      <c r="G111" s="16"/>
      <c r="H111" s="16"/>
      <c r="I111" s="8"/>
      <c r="J111" s="8"/>
      <c r="K111" s="8"/>
      <c r="L111" s="8"/>
      <c r="M111" s="8"/>
      <c r="N111" s="8"/>
      <c r="O111" s="8"/>
    </row>
    <row r="112" customFormat="false" ht="24.75" hidden="false" customHeight="true" outlineLevel="0" collapsed="false">
      <c r="A112" s="7"/>
      <c r="B112" s="7"/>
      <c r="C112" s="8"/>
      <c r="D112" s="16"/>
      <c r="E112" s="16"/>
      <c r="F112" s="16"/>
      <c r="G112" s="16"/>
      <c r="H112" s="16"/>
      <c r="I112" s="8"/>
      <c r="J112" s="8"/>
      <c r="K112" s="8"/>
      <c r="L112" s="8"/>
      <c r="M112" s="8"/>
      <c r="N112" s="8"/>
      <c r="O112" s="8"/>
    </row>
    <row r="113" customFormat="false" ht="24.75" hidden="false" customHeight="true" outlineLevel="0" collapsed="false">
      <c r="A113" s="7"/>
      <c r="B113" s="7"/>
      <c r="C113" s="8"/>
      <c r="D113" s="16"/>
      <c r="E113" s="16"/>
      <c r="F113" s="16"/>
      <c r="G113" s="16"/>
      <c r="H113" s="16"/>
      <c r="I113" s="8"/>
      <c r="J113" s="8"/>
      <c r="K113" s="8"/>
      <c r="L113" s="8"/>
      <c r="M113" s="8"/>
      <c r="N113" s="8"/>
      <c r="O113" s="8"/>
    </row>
    <row r="114" customFormat="false" ht="24.75" hidden="false" customHeight="true" outlineLevel="0" collapsed="false">
      <c r="A114" s="7"/>
      <c r="B114" s="7"/>
      <c r="C114" s="8"/>
      <c r="D114" s="16"/>
      <c r="E114" s="16"/>
      <c r="F114" s="16"/>
      <c r="G114" s="16"/>
      <c r="H114" s="16"/>
      <c r="I114" s="8"/>
      <c r="J114" s="8"/>
      <c r="K114" s="8"/>
      <c r="L114" s="8"/>
      <c r="M114" s="8"/>
      <c r="N114" s="8"/>
      <c r="O114" s="8"/>
    </row>
    <row r="115" customFormat="false" ht="24.75" hidden="false" customHeight="true" outlineLevel="0" collapsed="false">
      <c r="A115" s="7"/>
      <c r="B115" s="7"/>
      <c r="C115" s="8"/>
      <c r="D115" s="16"/>
      <c r="E115" s="16"/>
      <c r="F115" s="16"/>
      <c r="G115" s="16"/>
      <c r="H115" s="16"/>
      <c r="I115" s="8"/>
      <c r="J115" s="8"/>
      <c r="K115" s="8"/>
      <c r="L115" s="8"/>
      <c r="M115" s="8"/>
      <c r="N115" s="8"/>
      <c r="O115" s="8"/>
    </row>
  </sheetData>
  <mergeCells count="4">
    <mergeCell ref="C2:H2"/>
    <mergeCell ref="C11:J11"/>
    <mergeCell ref="C18:J18"/>
    <mergeCell ref="C31:J3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8B525"/>
    <pageSetUpPr fitToPage="false"/>
  </sheetPr>
  <dimension ref="A1:O11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1" width="3"/>
    <col collapsed="false" customWidth="true" hidden="false" outlineLevel="0" max="3" min="3" style="1" width="38"/>
    <col collapsed="false" customWidth="true" hidden="false" outlineLevel="0" max="5" min="4" style="1" width="24"/>
    <col collapsed="false" customWidth="true" hidden="false" outlineLevel="0" max="10" min="6" style="1" width="25"/>
    <col collapsed="false" customWidth="true" hidden="false" outlineLevel="0" max="15" min="11" style="1" width="15"/>
  </cols>
  <sheetData>
    <row r="1" customFormat="false" ht="15" hidden="false" customHeight="false" outlineLevel="0" collapsed="false">
      <c r="A1" s="7"/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customFormat="false" ht="36.75" hidden="false" customHeight="true" outlineLevel="0" collapsed="false">
      <c r="A2" s="7"/>
      <c r="B2" s="7"/>
      <c r="C2" s="59" t="s">
        <v>489</v>
      </c>
      <c r="D2" s="59"/>
      <c r="E2" s="59"/>
      <c r="F2" s="59"/>
      <c r="G2" s="59"/>
      <c r="H2" s="59"/>
      <c r="I2" s="8"/>
      <c r="J2" s="8"/>
      <c r="K2" s="8"/>
      <c r="L2" s="8"/>
      <c r="M2" s="8"/>
      <c r="N2" s="8"/>
      <c r="O2" s="8"/>
    </row>
    <row r="3" customFormat="false" ht="15" hidden="false" customHeight="false" outlineLevel="0" collapsed="false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customFormat="false" ht="39" hidden="false" customHeight="true" outlineLevel="0" collapsed="false">
      <c r="A4" s="7"/>
      <c r="B4" s="7"/>
      <c r="C4" s="65" t="s">
        <v>490</v>
      </c>
      <c r="D4" s="65"/>
      <c r="E4" s="65"/>
      <c r="F4" s="53"/>
      <c r="G4" s="53"/>
      <c r="H4" s="53"/>
      <c r="I4" s="53"/>
      <c r="J4" s="53"/>
      <c r="K4" s="8"/>
      <c r="L4" s="8"/>
      <c r="M4" s="8"/>
      <c r="N4" s="8"/>
      <c r="O4" s="8"/>
    </row>
    <row r="5" customFormat="false" ht="48" hidden="false" customHeight="true" outlineLevel="0" collapsed="false">
      <c r="A5" s="7"/>
      <c r="B5" s="7"/>
      <c r="C5" s="68" t="s">
        <v>491</v>
      </c>
      <c r="D5" s="69" t="s">
        <v>492</v>
      </c>
      <c r="E5" s="69" t="s">
        <v>493</v>
      </c>
      <c r="F5" s="57"/>
      <c r="G5" s="57"/>
      <c r="H5" s="57"/>
      <c r="I5" s="53"/>
      <c r="J5" s="53"/>
      <c r="K5" s="8"/>
      <c r="L5" s="8"/>
      <c r="M5" s="8"/>
      <c r="N5" s="8"/>
      <c r="O5" s="8"/>
    </row>
    <row r="6" customFormat="false" ht="31.5" hidden="false" customHeight="true" outlineLevel="0" collapsed="false">
      <c r="A6" s="7"/>
      <c r="B6" s="7"/>
      <c r="C6" s="53" t="s">
        <v>339</v>
      </c>
      <c r="D6" s="72" t="n">
        <v>140000</v>
      </c>
      <c r="E6" s="57" t="s">
        <v>494</v>
      </c>
      <c r="F6" s="57"/>
      <c r="G6" s="57"/>
      <c r="H6" s="57"/>
      <c r="I6" s="53"/>
      <c r="J6" s="53"/>
      <c r="K6" s="8"/>
      <c r="L6" s="8"/>
      <c r="M6" s="8"/>
      <c r="N6" s="8"/>
      <c r="O6" s="8"/>
    </row>
    <row r="7" customFormat="false" ht="31.5" hidden="false" customHeight="true" outlineLevel="0" collapsed="false">
      <c r="A7" s="7"/>
      <c r="B7" s="7"/>
      <c r="C7" s="53" t="s">
        <v>495</v>
      </c>
      <c r="D7" s="73" t="n">
        <v>0.4</v>
      </c>
      <c r="E7" s="57"/>
      <c r="F7" s="57"/>
      <c r="G7" s="57"/>
      <c r="H7" s="57"/>
      <c r="I7" s="53"/>
      <c r="J7" s="53"/>
      <c r="K7" s="8"/>
      <c r="L7" s="8"/>
      <c r="M7" s="8"/>
      <c r="N7" s="8"/>
      <c r="O7" s="8"/>
    </row>
    <row r="8" customFormat="false" ht="31.5" hidden="false" customHeight="true" outlineLevel="0" collapsed="false">
      <c r="A8" s="7"/>
      <c r="B8" s="7"/>
      <c r="C8" s="53" t="s">
        <v>496</v>
      </c>
      <c r="D8" s="72" t="n">
        <v>60000</v>
      </c>
      <c r="E8" s="57"/>
      <c r="F8" s="57"/>
      <c r="G8" s="57"/>
      <c r="H8" s="57"/>
      <c r="I8" s="53"/>
      <c r="J8" s="53"/>
      <c r="K8" s="8"/>
      <c r="L8" s="8"/>
      <c r="M8" s="8"/>
      <c r="N8" s="8"/>
      <c r="O8" s="8"/>
    </row>
    <row r="9" customFormat="false" ht="31.5" hidden="false" customHeight="true" outlineLevel="0" collapsed="false">
      <c r="A9" s="7"/>
      <c r="B9" s="7"/>
      <c r="C9" s="53" t="s">
        <v>497</v>
      </c>
      <c r="D9" s="72" t="n">
        <v>35000</v>
      </c>
      <c r="E9" s="57" t="s">
        <v>498</v>
      </c>
      <c r="F9" s="57"/>
      <c r="G9" s="57"/>
      <c r="H9" s="57"/>
      <c r="I9" s="53"/>
      <c r="J9" s="53"/>
      <c r="K9" s="8"/>
      <c r="L9" s="8"/>
      <c r="M9" s="8"/>
      <c r="N9" s="8"/>
      <c r="O9" s="8"/>
    </row>
    <row r="10" customFormat="false" ht="31.5" hidden="false" customHeight="true" outlineLevel="0" collapsed="false">
      <c r="A10" s="7"/>
      <c r="B10" s="7"/>
      <c r="C10" s="53" t="s">
        <v>499</v>
      </c>
      <c r="D10" s="73" t="n">
        <v>0.15</v>
      </c>
      <c r="E10" s="57" t="s">
        <v>500</v>
      </c>
      <c r="F10" s="57"/>
      <c r="G10" s="57"/>
      <c r="H10" s="57"/>
      <c r="I10" s="53"/>
      <c r="J10" s="53"/>
      <c r="K10" s="8"/>
      <c r="L10" s="8"/>
      <c r="M10" s="8"/>
      <c r="N10" s="8"/>
      <c r="O10" s="8"/>
    </row>
    <row r="11" customFormat="false" ht="31.5" hidden="false" customHeight="true" outlineLevel="0" collapsed="false">
      <c r="A11" s="7"/>
      <c r="B11" s="7"/>
      <c r="C11" s="53" t="s">
        <v>501</v>
      </c>
      <c r="D11" s="72" t="n">
        <v>0</v>
      </c>
      <c r="E11" s="57"/>
      <c r="F11" s="57"/>
      <c r="G11" s="57"/>
      <c r="H11" s="57"/>
      <c r="I11" s="53"/>
      <c r="J11" s="53"/>
      <c r="K11" s="8"/>
      <c r="L11" s="8"/>
      <c r="M11" s="8"/>
      <c r="N11" s="8"/>
      <c r="O11" s="8"/>
    </row>
    <row r="12" customFormat="false" ht="31.5" hidden="false" customHeight="true" outlineLevel="0" collapsed="false">
      <c r="A12" s="7"/>
      <c r="B12" s="7"/>
      <c r="C12" s="53"/>
      <c r="D12" s="57"/>
      <c r="E12" s="57"/>
      <c r="F12" s="57"/>
      <c r="G12" s="57"/>
      <c r="H12" s="57"/>
      <c r="I12" s="53"/>
      <c r="J12" s="53"/>
      <c r="K12" s="8"/>
      <c r="L12" s="8"/>
      <c r="M12" s="8"/>
      <c r="N12" s="8"/>
      <c r="O12" s="8"/>
    </row>
    <row r="13" customFormat="false" ht="31.5" hidden="false" customHeight="true" outlineLevel="0" collapsed="false">
      <c r="A13" s="7"/>
      <c r="B13" s="7"/>
      <c r="C13" s="53"/>
      <c r="D13" s="57"/>
      <c r="E13" s="57"/>
      <c r="F13" s="57"/>
      <c r="G13" s="57"/>
      <c r="H13" s="57"/>
      <c r="I13" s="53"/>
      <c r="J13" s="53"/>
      <c r="K13" s="8"/>
      <c r="L13" s="8"/>
      <c r="M13" s="8"/>
      <c r="N13" s="8"/>
      <c r="O13" s="8"/>
    </row>
    <row r="14" customFormat="false" ht="31.5" hidden="false" customHeight="true" outlineLevel="0" collapsed="false">
      <c r="A14" s="7"/>
      <c r="B14" s="7"/>
      <c r="C14" s="53"/>
      <c r="D14" s="57"/>
      <c r="E14" s="57"/>
      <c r="F14" s="57"/>
      <c r="G14" s="57"/>
      <c r="H14" s="57"/>
      <c r="I14" s="53"/>
      <c r="J14" s="53"/>
      <c r="K14" s="8"/>
      <c r="L14" s="8"/>
      <c r="M14" s="8"/>
      <c r="N14" s="8"/>
      <c r="O14" s="8"/>
    </row>
    <row r="15" customFormat="false" ht="31.5" hidden="false" customHeight="true" outlineLevel="0" collapsed="false">
      <c r="A15" s="7"/>
      <c r="B15" s="7"/>
      <c r="C15" s="68" t="s">
        <v>502</v>
      </c>
      <c r="D15" s="69" t="s">
        <v>497</v>
      </c>
      <c r="E15" s="69" t="s">
        <v>503</v>
      </c>
      <c r="F15" s="57"/>
      <c r="G15" s="57"/>
      <c r="H15" s="57"/>
      <c r="I15" s="53"/>
      <c r="J15" s="53"/>
      <c r="K15" s="8"/>
      <c r="L15" s="8"/>
      <c r="M15" s="8"/>
      <c r="N15" s="8"/>
      <c r="O15" s="8"/>
    </row>
    <row r="16" customFormat="false" ht="31.5" hidden="false" customHeight="true" outlineLevel="0" collapsed="false">
      <c r="A16" s="7"/>
      <c r="B16" s="7"/>
      <c r="C16" s="53" t="s">
        <v>339</v>
      </c>
      <c r="D16" s="57" t="n">
        <f aca="false">D6</f>
        <v>140000</v>
      </c>
      <c r="E16" s="57" t="n">
        <f aca="false">D6</f>
        <v>140000</v>
      </c>
      <c r="F16" s="57"/>
      <c r="G16" s="57"/>
      <c r="H16" s="57"/>
      <c r="I16" s="53"/>
      <c r="J16" s="53"/>
      <c r="K16" s="8"/>
      <c r="L16" s="8"/>
      <c r="M16" s="8"/>
      <c r="N16" s="8"/>
      <c r="O16" s="8"/>
    </row>
    <row r="17" customFormat="false" ht="31.5" hidden="false" customHeight="true" outlineLevel="0" collapsed="false">
      <c r="A17" s="7"/>
      <c r="B17" s="7"/>
      <c r="C17" s="53" t="s">
        <v>360</v>
      </c>
      <c r="D17" s="57" t="n">
        <f aca="false">D6*D7</f>
        <v>56000</v>
      </c>
      <c r="E17" s="57" t="n">
        <f aca="false">D17</f>
        <v>56000</v>
      </c>
      <c r="F17" s="57"/>
      <c r="G17" s="57"/>
      <c r="H17" s="57"/>
      <c r="I17" s="53"/>
      <c r="J17" s="53"/>
      <c r="K17" s="8"/>
      <c r="L17" s="8"/>
      <c r="M17" s="8"/>
      <c r="N17" s="8"/>
      <c r="O17" s="8"/>
    </row>
    <row r="18" customFormat="false" ht="31.5" hidden="false" customHeight="true" outlineLevel="0" collapsed="false">
      <c r="A18" s="7"/>
      <c r="B18" s="7"/>
      <c r="C18" s="53" t="s">
        <v>504</v>
      </c>
      <c r="D18" s="57" t="n">
        <f aca="false">D8</f>
        <v>60000</v>
      </c>
      <c r="E18" s="57" t="n">
        <f aca="false">D8</f>
        <v>60000</v>
      </c>
      <c r="F18" s="57"/>
      <c r="G18" s="57"/>
      <c r="H18" s="57"/>
      <c r="I18" s="53"/>
      <c r="J18" s="53"/>
      <c r="K18" s="8"/>
      <c r="L18" s="8"/>
      <c r="M18" s="8"/>
      <c r="N18" s="8"/>
      <c r="O18" s="8"/>
    </row>
    <row r="19" customFormat="false" ht="31.5" hidden="false" customHeight="true" outlineLevel="0" collapsed="false">
      <c r="A19" s="7"/>
      <c r="B19" s="7"/>
      <c r="C19" s="53" t="s">
        <v>505</v>
      </c>
      <c r="D19" s="57" t="n">
        <f aca="false">D9</f>
        <v>35000</v>
      </c>
      <c r="E19" s="57" t="n">
        <f aca="false">MAX(D11,D6*D10)</f>
        <v>21000</v>
      </c>
      <c r="F19" s="57"/>
      <c r="G19" s="57"/>
      <c r="H19" s="57"/>
      <c r="I19" s="53"/>
      <c r="J19" s="53"/>
      <c r="K19" s="8"/>
      <c r="L19" s="8"/>
      <c r="M19" s="8"/>
      <c r="N19" s="8"/>
      <c r="O19" s="8"/>
    </row>
    <row r="20" customFormat="false" ht="31.5" hidden="false" customHeight="true" outlineLevel="0" collapsed="false">
      <c r="A20" s="7"/>
      <c r="B20" s="7"/>
      <c r="C20" s="53" t="s">
        <v>506</v>
      </c>
      <c r="D20" s="57" t="n">
        <f aca="false">D16-SUM(D17:D19)</f>
        <v>-11000</v>
      </c>
      <c r="E20" s="57" t="n">
        <f aca="false">E16-SUM(E17:E19)</f>
        <v>3000</v>
      </c>
      <c r="F20" s="57"/>
      <c r="G20" s="57"/>
      <c r="H20" s="57"/>
      <c r="I20" s="53"/>
      <c r="J20" s="53"/>
      <c r="K20" s="8"/>
      <c r="L20" s="8"/>
      <c r="M20" s="8"/>
      <c r="N20" s="8"/>
      <c r="O20" s="8"/>
    </row>
    <row r="21" customFormat="false" ht="31.5" hidden="false" customHeight="true" outlineLevel="0" collapsed="false">
      <c r="A21" s="7"/>
      <c r="B21" s="7"/>
      <c r="C21" s="53" t="s">
        <v>507</v>
      </c>
      <c r="D21" s="71" t="n">
        <f aca="false">IF(D16&gt;0,D20/D16,0)</f>
        <v>-0.0785714285714286</v>
      </c>
      <c r="E21" s="71" t="n">
        <f aca="false">IF(E16&gt;0,E20/E16,0)</f>
        <v>0.0214285714285714</v>
      </c>
      <c r="F21" s="57"/>
      <c r="G21" s="57"/>
      <c r="H21" s="57"/>
      <c r="I21" s="53"/>
      <c r="J21" s="53"/>
      <c r="K21" s="8"/>
      <c r="L21" s="8"/>
      <c r="M21" s="8"/>
      <c r="N21" s="8"/>
      <c r="O21" s="8"/>
    </row>
    <row r="22" customFormat="false" ht="31.5" hidden="false" customHeight="true" outlineLevel="0" collapsed="false">
      <c r="A22" s="7"/>
      <c r="B22" s="7"/>
      <c r="C22" s="53"/>
      <c r="D22" s="57"/>
      <c r="E22" s="57"/>
      <c r="F22" s="57"/>
      <c r="G22" s="57"/>
      <c r="H22" s="57"/>
      <c r="I22" s="53"/>
      <c r="J22" s="53"/>
      <c r="K22" s="8"/>
      <c r="L22" s="8"/>
      <c r="M22" s="8"/>
      <c r="N22" s="8"/>
      <c r="O22" s="8"/>
    </row>
    <row r="23" customFormat="false" ht="31.5" hidden="false" customHeight="true" outlineLevel="0" collapsed="false">
      <c r="A23" s="7"/>
      <c r="B23" s="7"/>
      <c r="C23" s="53" t="s">
        <v>508</v>
      </c>
      <c r="D23" s="57" t="n">
        <f aca="false">IF(D7&lt;1,(D8+D9)/(1-D7),"راجع التكلفة")</f>
        <v>158333.333333333</v>
      </c>
      <c r="E23" s="57" t="n">
        <f aca="false">IF(SUM(D7,D10)&lt;1,MAX((D8+D11)/(1-D7),D8/(1-D7-D10)),"راجع التكلفة والحصة")</f>
        <v>133333.333333333</v>
      </c>
      <c r="F23" s="57"/>
      <c r="G23" s="57"/>
      <c r="H23" s="57"/>
      <c r="I23" s="53"/>
      <c r="J23" s="53"/>
      <c r="K23" s="8"/>
      <c r="L23" s="8"/>
      <c r="M23" s="8"/>
      <c r="N23" s="8"/>
      <c r="O23" s="8"/>
    </row>
    <row r="24" customFormat="false" ht="31.5" hidden="false" customHeight="true" outlineLevel="0" collapsed="false">
      <c r="A24" s="7"/>
      <c r="B24" s="7"/>
      <c r="C24" s="53"/>
      <c r="D24" s="57"/>
      <c r="E24" s="57"/>
      <c r="F24" s="57"/>
      <c r="G24" s="57"/>
      <c r="H24" s="57"/>
      <c r="I24" s="53"/>
      <c r="J24" s="53"/>
      <c r="K24" s="8"/>
      <c r="L24" s="8"/>
      <c r="M24" s="8"/>
      <c r="N24" s="8"/>
      <c r="O24" s="8"/>
    </row>
    <row r="25" customFormat="false" ht="31.5" hidden="false" customHeight="true" outlineLevel="0" collapsed="false">
      <c r="A25" s="7"/>
      <c r="B25" s="7"/>
      <c r="C25" s="53" t="s">
        <v>509</v>
      </c>
      <c r="D25" s="57" t="n">
        <f aca="false">IF(D10&gt;0,D9/D10,"لا حصة إيراد")</f>
        <v>233333.333333333</v>
      </c>
      <c r="E25" s="57"/>
      <c r="F25" s="57"/>
      <c r="G25" s="57"/>
      <c r="H25" s="57"/>
      <c r="I25" s="53"/>
      <c r="J25" s="53"/>
      <c r="K25" s="8"/>
      <c r="L25" s="8"/>
      <c r="M25" s="8"/>
      <c r="N25" s="8"/>
      <c r="O25" s="8"/>
    </row>
    <row r="26" customFormat="false" ht="31.5" hidden="false" customHeight="true" outlineLevel="0" collapsed="false">
      <c r="A26" s="7"/>
      <c r="B26" s="7"/>
      <c r="C26" s="53"/>
      <c r="D26" s="57"/>
      <c r="E26" s="57"/>
      <c r="F26" s="57"/>
      <c r="G26" s="57"/>
      <c r="H26" s="57"/>
      <c r="I26" s="53"/>
      <c r="J26" s="53"/>
      <c r="K26" s="8"/>
      <c r="L26" s="8"/>
      <c r="M26" s="8"/>
      <c r="N26" s="8"/>
      <c r="O26" s="8"/>
    </row>
    <row r="27" customFormat="false" ht="31.5" hidden="false" customHeight="true" outlineLevel="0" collapsed="false">
      <c r="A27" s="7"/>
      <c r="B27" s="7"/>
      <c r="C27" s="53"/>
      <c r="D27" s="57"/>
      <c r="E27" s="57"/>
      <c r="F27" s="57"/>
      <c r="G27" s="57"/>
      <c r="H27" s="57"/>
      <c r="I27" s="53"/>
      <c r="J27" s="53"/>
      <c r="K27" s="8"/>
      <c r="L27" s="8"/>
      <c r="M27" s="8"/>
      <c r="N27" s="8"/>
      <c r="O27" s="8"/>
    </row>
    <row r="28" customFormat="false" ht="39" hidden="false" customHeight="true" outlineLevel="0" collapsed="false">
      <c r="A28" s="7"/>
      <c r="B28" s="7"/>
      <c r="C28" s="65" t="s">
        <v>510</v>
      </c>
      <c r="D28" s="65"/>
      <c r="E28" s="65"/>
      <c r="F28" s="57"/>
      <c r="G28" s="57"/>
      <c r="H28" s="57"/>
      <c r="I28" s="53"/>
      <c r="J28" s="53"/>
      <c r="K28" s="8"/>
      <c r="L28" s="8"/>
      <c r="M28" s="8"/>
      <c r="N28" s="8"/>
      <c r="O28" s="8"/>
    </row>
    <row r="29" customFormat="false" ht="39" hidden="false" customHeight="true" outlineLevel="0" collapsed="false">
      <c r="A29" s="7"/>
      <c r="B29" s="7"/>
      <c r="C29" s="65" t="s">
        <v>511</v>
      </c>
      <c r="D29" s="65"/>
      <c r="E29" s="65"/>
      <c r="F29" s="57"/>
      <c r="G29" s="57"/>
      <c r="H29" s="57"/>
      <c r="I29" s="53"/>
      <c r="J29" s="53"/>
      <c r="K29" s="8"/>
      <c r="L29" s="8"/>
      <c r="M29" s="8"/>
      <c r="N29" s="8"/>
      <c r="O29" s="8"/>
    </row>
    <row r="30" customFormat="false" ht="31.5" hidden="false" customHeight="true" outlineLevel="0" collapsed="false">
      <c r="A30" s="7"/>
      <c r="B30" s="7"/>
      <c r="C30" s="53"/>
      <c r="D30" s="57"/>
      <c r="E30" s="57"/>
      <c r="F30" s="57"/>
      <c r="G30" s="57"/>
      <c r="H30" s="57"/>
      <c r="I30" s="53"/>
      <c r="J30" s="53"/>
      <c r="K30" s="8"/>
      <c r="L30" s="8"/>
      <c r="M30" s="8"/>
      <c r="N30" s="8"/>
      <c r="O30" s="8"/>
    </row>
    <row r="31" customFormat="false" ht="31.5" hidden="false" customHeight="true" outlineLevel="0" collapsed="false">
      <c r="A31" s="7"/>
      <c r="B31" s="7"/>
      <c r="C31" s="53"/>
      <c r="D31" s="57"/>
      <c r="E31" s="57"/>
      <c r="F31" s="57"/>
      <c r="G31" s="57"/>
      <c r="H31" s="57"/>
      <c r="I31" s="53"/>
      <c r="J31" s="53"/>
      <c r="K31" s="8"/>
      <c r="L31" s="8"/>
      <c r="M31" s="8"/>
      <c r="N31" s="8"/>
      <c r="O31" s="8"/>
    </row>
    <row r="32" customFormat="false" ht="31.5" hidden="false" customHeight="true" outlineLevel="0" collapsed="false">
      <c r="A32" s="7"/>
      <c r="B32" s="7"/>
      <c r="C32" s="68" t="s">
        <v>512</v>
      </c>
      <c r="D32" s="69" t="s">
        <v>513</v>
      </c>
      <c r="E32" s="69" t="s">
        <v>514</v>
      </c>
      <c r="F32" s="57"/>
      <c r="G32" s="57"/>
      <c r="H32" s="57"/>
      <c r="I32" s="53"/>
      <c r="J32" s="53"/>
      <c r="K32" s="8"/>
      <c r="L32" s="8"/>
      <c r="M32" s="8"/>
      <c r="N32" s="8"/>
      <c r="O32" s="8"/>
    </row>
    <row r="33" customFormat="false" ht="31.5" hidden="false" customHeight="true" outlineLevel="0" collapsed="false">
      <c r="A33" s="7"/>
      <c r="B33" s="7"/>
      <c r="C33" s="53" t="n">
        <v>100000</v>
      </c>
      <c r="D33" s="57" t="n">
        <f aca="false">C33*(1-$D$7)-$D$8-$D$9</f>
        <v>-35000</v>
      </c>
      <c r="E33" s="57" t="n">
        <f aca="false">C33*(1-$D$7)-$D$8-MAX($D$11,C33*$D$10)</f>
        <v>-15000</v>
      </c>
      <c r="F33" s="57"/>
      <c r="G33" s="57"/>
      <c r="H33" s="57"/>
      <c r="I33" s="53"/>
      <c r="J33" s="53"/>
      <c r="K33" s="8"/>
      <c r="L33" s="8"/>
      <c r="M33" s="8"/>
      <c r="N33" s="8"/>
      <c r="O33" s="8"/>
    </row>
    <row r="34" customFormat="false" ht="31.5" hidden="false" customHeight="true" outlineLevel="0" collapsed="false">
      <c r="A34" s="7"/>
      <c r="B34" s="7"/>
      <c r="C34" s="53" t="n">
        <v>140000</v>
      </c>
      <c r="D34" s="57" t="n">
        <f aca="false">C34*(1-$D$7)-$D$8-$D$9</f>
        <v>-11000</v>
      </c>
      <c r="E34" s="57" t="n">
        <f aca="false">C34*(1-$D$7)-$D$8-MAX($D$11,C34*$D$10)</f>
        <v>3000</v>
      </c>
      <c r="F34" s="57"/>
      <c r="G34" s="57"/>
      <c r="H34" s="57"/>
      <c r="I34" s="53"/>
      <c r="J34" s="53"/>
      <c r="K34" s="8"/>
      <c r="L34" s="8"/>
      <c r="M34" s="8"/>
      <c r="N34" s="8"/>
      <c r="O34" s="8"/>
    </row>
    <row r="35" customFormat="false" ht="31.5" hidden="false" customHeight="true" outlineLevel="0" collapsed="false">
      <c r="A35" s="7"/>
      <c r="B35" s="7"/>
      <c r="C35" s="53" t="n">
        <v>200000</v>
      </c>
      <c r="D35" s="57" t="n">
        <f aca="false">C35*(1-$D$7)-$D$8-$D$9</f>
        <v>25000</v>
      </c>
      <c r="E35" s="57" t="n">
        <f aca="false">C35*(1-$D$7)-$D$8-MAX($D$11,C35*$D$10)</f>
        <v>30000</v>
      </c>
      <c r="F35" s="57"/>
      <c r="G35" s="57"/>
      <c r="H35" s="57"/>
      <c r="I35" s="53"/>
      <c r="J35" s="53"/>
      <c r="K35" s="8"/>
      <c r="L35" s="8"/>
      <c r="M35" s="8"/>
      <c r="N35" s="8"/>
      <c r="O35" s="8"/>
    </row>
    <row r="36" customFormat="false" ht="31.5" hidden="false" customHeight="true" outlineLevel="0" collapsed="false">
      <c r="A36" s="7"/>
      <c r="B36" s="7"/>
      <c r="C36" s="53"/>
      <c r="D36" s="57"/>
      <c r="E36" s="57"/>
      <c r="F36" s="57"/>
      <c r="G36" s="57"/>
      <c r="H36" s="57"/>
      <c r="I36" s="53"/>
      <c r="J36" s="53"/>
      <c r="K36" s="8"/>
      <c r="L36" s="8"/>
      <c r="M36" s="8"/>
      <c r="N36" s="8"/>
      <c r="O36" s="8"/>
    </row>
    <row r="37" customFormat="false" ht="31.5" hidden="false" customHeight="true" outlineLevel="0" collapsed="false">
      <c r="A37" s="7"/>
      <c r="B37" s="7"/>
      <c r="C37" s="53"/>
      <c r="D37" s="57"/>
      <c r="E37" s="57"/>
      <c r="F37" s="57"/>
      <c r="G37" s="57"/>
      <c r="H37" s="57"/>
      <c r="I37" s="53"/>
      <c r="J37" s="53"/>
      <c r="K37" s="8"/>
      <c r="L37" s="8"/>
      <c r="M37" s="8"/>
      <c r="N37" s="8"/>
      <c r="O37" s="8"/>
    </row>
    <row r="38" customFormat="false" ht="31.5" hidden="false" customHeight="true" outlineLevel="0" collapsed="false">
      <c r="A38" s="7"/>
      <c r="B38" s="7"/>
      <c r="C38" s="53"/>
      <c r="D38" s="57"/>
      <c r="E38" s="57"/>
      <c r="F38" s="57"/>
      <c r="G38" s="57"/>
      <c r="H38" s="57"/>
      <c r="I38" s="53"/>
      <c r="J38" s="53"/>
      <c r="K38" s="8"/>
      <c r="L38" s="8"/>
      <c r="M38" s="8"/>
      <c r="N38" s="8"/>
      <c r="O38" s="8"/>
    </row>
    <row r="39" customFormat="false" ht="31.5" hidden="false" customHeight="true" outlineLevel="0" collapsed="false">
      <c r="A39" s="7"/>
      <c r="B39" s="7"/>
      <c r="C39" s="53"/>
      <c r="D39" s="57"/>
      <c r="E39" s="57"/>
      <c r="F39" s="57"/>
      <c r="G39" s="57"/>
      <c r="H39" s="57"/>
      <c r="I39" s="53"/>
      <c r="J39" s="53"/>
      <c r="K39" s="8"/>
      <c r="L39" s="8"/>
      <c r="M39" s="8"/>
      <c r="N39" s="8"/>
      <c r="O39" s="8"/>
    </row>
    <row r="40" customFormat="false" ht="31.5" hidden="false" customHeight="true" outlineLevel="0" collapsed="false">
      <c r="A40" s="7"/>
      <c r="B40" s="7"/>
      <c r="C40" s="53"/>
      <c r="D40" s="57"/>
      <c r="E40" s="57"/>
      <c r="F40" s="57"/>
      <c r="G40" s="57"/>
      <c r="H40" s="57"/>
      <c r="I40" s="53"/>
      <c r="J40" s="53"/>
      <c r="K40" s="8"/>
      <c r="L40" s="8"/>
      <c r="M40" s="8"/>
      <c r="N40" s="8"/>
      <c r="O40" s="8"/>
    </row>
    <row r="41" customFormat="false" ht="24.75" hidden="false" customHeight="true" outlineLevel="0" collapsed="false">
      <c r="A41" s="7"/>
      <c r="B41" s="7"/>
      <c r="C41" s="8"/>
      <c r="D41" s="16"/>
      <c r="E41" s="16"/>
      <c r="F41" s="16"/>
      <c r="G41" s="16"/>
      <c r="H41" s="16"/>
      <c r="I41" s="8"/>
      <c r="J41" s="8"/>
      <c r="K41" s="8"/>
      <c r="L41" s="8"/>
      <c r="M41" s="8"/>
      <c r="N41" s="8"/>
      <c r="O41" s="8"/>
    </row>
    <row r="42" customFormat="false" ht="24.75" hidden="false" customHeight="true" outlineLevel="0" collapsed="false">
      <c r="A42" s="7"/>
      <c r="B42" s="7"/>
      <c r="C42" s="8"/>
      <c r="D42" s="16"/>
      <c r="E42" s="16"/>
      <c r="F42" s="16"/>
      <c r="G42" s="16"/>
      <c r="H42" s="16"/>
      <c r="I42" s="8"/>
      <c r="J42" s="8"/>
      <c r="K42" s="8"/>
      <c r="L42" s="8"/>
      <c r="M42" s="8"/>
      <c r="N42" s="8"/>
      <c r="O42" s="8"/>
    </row>
    <row r="43" customFormat="false" ht="24.75" hidden="false" customHeight="true" outlineLevel="0" collapsed="false">
      <c r="A43" s="7"/>
      <c r="B43" s="7"/>
      <c r="C43" s="8"/>
      <c r="D43" s="16"/>
      <c r="E43" s="16"/>
      <c r="F43" s="16"/>
      <c r="G43" s="16"/>
      <c r="H43" s="16"/>
      <c r="I43" s="8"/>
      <c r="J43" s="8"/>
      <c r="K43" s="8"/>
      <c r="L43" s="8"/>
      <c r="M43" s="8"/>
      <c r="N43" s="8"/>
      <c r="O43" s="8"/>
    </row>
    <row r="44" customFormat="false" ht="24.75" hidden="false" customHeight="true" outlineLevel="0" collapsed="false">
      <c r="A44" s="7"/>
      <c r="B44" s="7"/>
      <c r="C44" s="8"/>
      <c r="D44" s="16"/>
      <c r="E44" s="16"/>
      <c r="F44" s="16"/>
      <c r="G44" s="16"/>
      <c r="H44" s="16"/>
      <c r="I44" s="8"/>
      <c r="J44" s="8"/>
      <c r="K44" s="8"/>
      <c r="L44" s="8"/>
      <c r="M44" s="8"/>
      <c r="N44" s="8"/>
      <c r="O44" s="8"/>
    </row>
    <row r="45" customFormat="false" ht="24.75" hidden="false" customHeight="true" outlineLevel="0" collapsed="false">
      <c r="A45" s="7"/>
      <c r="B45" s="7"/>
      <c r="C45" s="8"/>
      <c r="D45" s="16"/>
      <c r="E45" s="16"/>
      <c r="F45" s="16"/>
      <c r="G45" s="16"/>
      <c r="H45" s="16"/>
      <c r="I45" s="8"/>
      <c r="J45" s="8"/>
      <c r="K45" s="8"/>
      <c r="L45" s="8"/>
      <c r="M45" s="8"/>
      <c r="N45" s="8"/>
      <c r="O45" s="8"/>
    </row>
    <row r="46" customFormat="false" ht="24.75" hidden="false" customHeight="true" outlineLevel="0" collapsed="false">
      <c r="A46" s="7"/>
      <c r="B46" s="7"/>
      <c r="C46" s="8"/>
      <c r="D46" s="16"/>
      <c r="E46" s="16"/>
      <c r="F46" s="16"/>
      <c r="G46" s="16"/>
      <c r="H46" s="16"/>
      <c r="I46" s="8"/>
      <c r="J46" s="8"/>
      <c r="K46" s="8"/>
      <c r="L46" s="8"/>
      <c r="M46" s="8"/>
      <c r="N46" s="8"/>
      <c r="O46" s="8"/>
    </row>
    <row r="47" customFormat="false" ht="24.75" hidden="false" customHeight="true" outlineLevel="0" collapsed="false">
      <c r="A47" s="7"/>
      <c r="B47" s="7"/>
      <c r="C47" s="8"/>
      <c r="D47" s="16"/>
      <c r="E47" s="16"/>
      <c r="F47" s="16"/>
      <c r="G47" s="16"/>
      <c r="H47" s="16"/>
      <c r="I47" s="8"/>
      <c r="J47" s="8"/>
      <c r="K47" s="8"/>
      <c r="L47" s="8"/>
      <c r="M47" s="8"/>
      <c r="N47" s="8"/>
      <c r="O47" s="8"/>
    </row>
    <row r="48" customFormat="false" ht="24.75" hidden="false" customHeight="true" outlineLevel="0" collapsed="false">
      <c r="A48" s="7"/>
      <c r="B48" s="7"/>
      <c r="C48" s="8"/>
      <c r="D48" s="16"/>
      <c r="E48" s="16"/>
      <c r="F48" s="16"/>
      <c r="G48" s="16"/>
      <c r="H48" s="16"/>
      <c r="I48" s="8"/>
      <c r="J48" s="8"/>
      <c r="K48" s="8"/>
      <c r="L48" s="8"/>
      <c r="M48" s="8"/>
      <c r="N48" s="8"/>
      <c r="O48" s="8"/>
    </row>
    <row r="49" customFormat="false" ht="24.75" hidden="false" customHeight="true" outlineLevel="0" collapsed="false">
      <c r="A49" s="7"/>
      <c r="B49" s="7"/>
      <c r="C49" s="8"/>
      <c r="D49" s="16"/>
      <c r="E49" s="16"/>
      <c r="F49" s="16"/>
      <c r="G49" s="16"/>
      <c r="H49" s="16"/>
      <c r="I49" s="8"/>
      <c r="J49" s="8"/>
      <c r="K49" s="8"/>
      <c r="L49" s="8"/>
      <c r="M49" s="8"/>
      <c r="N49" s="8"/>
      <c r="O49" s="8"/>
    </row>
    <row r="50" customFormat="false" ht="24.75" hidden="false" customHeight="true" outlineLevel="0" collapsed="false">
      <c r="A50" s="7"/>
      <c r="B50" s="7"/>
      <c r="C50" s="8"/>
      <c r="D50" s="16"/>
      <c r="E50" s="16"/>
      <c r="F50" s="16"/>
      <c r="G50" s="16"/>
      <c r="H50" s="16"/>
      <c r="I50" s="8"/>
      <c r="J50" s="8"/>
      <c r="K50" s="8"/>
      <c r="L50" s="8"/>
      <c r="M50" s="8"/>
      <c r="N50" s="8"/>
      <c r="O50" s="8"/>
    </row>
    <row r="51" customFormat="false" ht="24.75" hidden="false" customHeight="true" outlineLevel="0" collapsed="false">
      <c r="A51" s="7"/>
      <c r="B51" s="7"/>
      <c r="C51" s="8"/>
      <c r="D51" s="16"/>
      <c r="E51" s="16"/>
      <c r="F51" s="16"/>
      <c r="G51" s="16"/>
      <c r="H51" s="16"/>
      <c r="I51" s="8"/>
      <c r="J51" s="8"/>
      <c r="K51" s="8"/>
      <c r="L51" s="8"/>
      <c r="M51" s="8"/>
      <c r="N51" s="8"/>
      <c r="O51" s="8"/>
    </row>
    <row r="52" customFormat="false" ht="24.75" hidden="false" customHeight="true" outlineLevel="0" collapsed="false">
      <c r="A52" s="7"/>
      <c r="B52" s="7"/>
      <c r="C52" s="8"/>
      <c r="D52" s="16"/>
      <c r="E52" s="16"/>
      <c r="F52" s="16"/>
      <c r="G52" s="16"/>
      <c r="H52" s="16"/>
      <c r="I52" s="8"/>
      <c r="J52" s="8"/>
      <c r="K52" s="8"/>
      <c r="L52" s="8"/>
      <c r="M52" s="8"/>
      <c r="N52" s="8"/>
      <c r="O52" s="8"/>
    </row>
    <row r="53" customFormat="false" ht="24.75" hidden="false" customHeight="true" outlineLevel="0" collapsed="false">
      <c r="A53" s="7"/>
      <c r="B53" s="7"/>
      <c r="C53" s="8"/>
      <c r="D53" s="16"/>
      <c r="E53" s="16"/>
      <c r="F53" s="16"/>
      <c r="G53" s="16"/>
      <c r="H53" s="16"/>
      <c r="I53" s="8"/>
      <c r="J53" s="8"/>
      <c r="K53" s="8"/>
      <c r="L53" s="8"/>
      <c r="M53" s="8"/>
      <c r="N53" s="8"/>
      <c r="O53" s="8"/>
    </row>
    <row r="54" customFormat="false" ht="24.75" hidden="false" customHeight="true" outlineLevel="0" collapsed="false">
      <c r="A54" s="7"/>
      <c r="B54" s="7"/>
      <c r="C54" s="8"/>
      <c r="D54" s="16"/>
      <c r="E54" s="16"/>
      <c r="F54" s="16"/>
      <c r="G54" s="16"/>
      <c r="H54" s="16"/>
      <c r="I54" s="8"/>
      <c r="J54" s="8"/>
      <c r="K54" s="8"/>
      <c r="L54" s="8"/>
      <c r="M54" s="8"/>
      <c r="N54" s="8"/>
      <c r="O54" s="8"/>
    </row>
    <row r="55" customFormat="false" ht="24.75" hidden="false" customHeight="true" outlineLevel="0" collapsed="false">
      <c r="A55" s="7"/>
      <c r="B55" s="7"/>
      <c r="C55" s="8"/>
      <c r="D55" s="16"/>
      <c r="E55" s="16"/>
      <c r="F55" s="16"/>
      <c r="G55" s="16"/>
      <c r="H55" s="16"/>
      <c r="I55" s="8"/>
      <c r="J55" s="8"/>
      <c r="K55" s="8"/>
      <c r="L55" s="8"/>
      <c r="M55" s="8"/>
      <c r="N55" s="8"/>
      <c r="O55" s="8"/>
    </row>
    <row r="56" customFormat="false" ht="24.75" hidden="false" customHeight="true" outlineLevel="0" collapsed="false">
      <c r="A56" s="7"/>
      <c r="B56" s="7"/>
      <c r="C56" s="8"/>
      <c r="D56" s="16"/>
      <c r="E56" s="16"/>
      <c r="F56" s="16"/>
      <c r="G56" s="16"/>
      <c r="H56" s="16"/>
      <c r="I56" s="8"/>
      <c r="J56" s="8"/>
      <c r="K56" s="8"/>
      <c r="L56" s="8"/>
      <c r="M56" s="8"/>
      <c r="N56" s="8"/>
      <c r="O56" s="8"/>
    </row>
    <row r="57" customFormat="false" ht="24.75" hidden="false" customHeight="true" outlineLevel="0" collapsed="false">
      <c r="A57" s="7"/>
      <c r="B57" s="7"/>
      <c r="C57" s="8"/>
      <c r="D57" s="16"/>
      <c r="E57" s="16"/>
      <c r="F57" s="16"/>
      <c r="G57" s="16"/>
      <c r="H57" s="16"/>
      <c r="I57" s="8"/>
      <c r="J57" s="8"/>
      <c r="K57" s="8"/>
      <c r="L57" s="8"/>
      <c r="M57" s="8"/>
      <c r="N57" s="8"/>
      <c r="O57" s="8"/>
    </row>
    <row r="58" customFormat="false" ht="24.75" hidden="false" customHeight="true" outlineLevel="0" collapsed="false">
      <c r="A58" s="7"/>
      <c r="B58" s="7"/>
      <c r="C58" s="8"/>
      <c r="D58" s="16"/>
      <c r="E58" s="16"/>
      <c r="F58" s="16"/>
      <c r="G58" s="16"/>
      <c r="H58" s="16"/>
      <c r="I58" s="8"/>
      <c r="J58" s="8"/>
      <c r="K58" s="8"/>
      <c r="L58" s="8"/>
      <c r="M58" s="8"/>
      <c r="N58" s="8"/>
      <c r="O58" s="8"/>
    </row>
    <row r="59" customFormat="false" ht="24.75" hidden="false" customHeight="true" outlineLevel="0" collapsed="false">
      <c r="A59" s="7"/>
      <c r="B59" s="7"/>
      <c r="C59" s="8"/>
      <c r="D59" s="16"/>
      <c r="E59" s="16"/>
      <c r="F59" s="16"/>
      <c r="G59" s="16"/>
      <c r="H59" s="16"/>
      <c r="I59" s="8"/>
      <c r="J59" s="8"/>
      <c r="K59" s="8"/>
      <c r="L59" s="8"/>
      <c r="M59" s="8"/>
      <c r="N59" s="8"/>
      <c r="O59" s="8"/>
    </row>
    <row r="60" customFormat="false" ht="24.75" hidden="false" customHeight="true" outlineLevel="0" collapsed="false">
      <c r="A60" s="7"/>
      <c r="B60" s="7"/>
      <c r="C60" s="8"/>
      <c r="D60" s="16"/>
      <c r="E60" s="16"/>
      <c r="F60" s="16"/>
      <c r="G60" s="16"/>
      <c r="H60" s="16"/>
      <c r="I60" s="8"/>
      <c r="J60" s="8"/>
      <c r="K60" s="8"/>
      <c r="L60" s="8"/>
      <c r="M60" s="8"/>
      <c r="N60" s="8"/>
      <c r="O60" s="8"/>
    </row>
    <row r="61" customFormat="false" ht="24.75" hidden="false" customHeight="true" outlineLevel="0" collapsed="false">
      <c r="A61" s="7"/>
      <c r="B61" s="7"/>
      <c r="C61" s="8"/>
      <c r="D61" s="16"/>
      <c r="E61" s="16"/>
      <c r="F61" s="16"/>
      <c r="G61" s="16"/>
      <c r="H61" s="16"/>
      <c r="I61" s="8"/>
      <c r="J61" s="8"/>
      <c r="K61" s="8"/>
      <c r="L61" s="8"/>
      <c r="M61" s="8"/>
      <c r="N61" s="8"/>
      <c r="O61" s="8"/>
    </row>
    <row r="62" customFormat="false" ht="24.75" hidden="false" customHeight="true" outlineLevel="0" collapsed="false">
      <c r="A62" s="7"/>
      <c r="B62" s="7"/>
      <c r="C62" s="8"/>
      <c r="D62" s="16"/>
      <c r="E62" s="16"/>
      <c r="F62" s="16"/>
      <c r="G62" s="16"/>
      <c r="H62" s="16"/>
      <c r="I62" s="8"/>
      <c r="J62" s="8"/>
      <c r="K62" s="8"/>
      <c r="L62" s="8"/>
      <c r="M62" s="8"/>
      <c r="N62" s="8"/>
      <c r="O62" s="8"/>
    </row>
    <row r="63" customFormat="false" ht="24.75" hidden="false" customHeight="true" outlineLevel="0" collapsed="false">
      <c r="A63" s="7"/>
      <c r="B63" s="7"/>
      <c r="C63" s="8"/>
      <c r="D63" s="16"/>
      <c r="E63" s="16"/>
      <c r="F63" s="16"/>
      <c r="G63" s="16"/>
      <c r="H63" s="16"/>
      <c r="I63" s="8"/>
      <c r="J63" s="8"/>
      <c r="K63" s="8"/>
      <c r="L63" s="8"/>
      <c r="M63" s="8"/>
      <c r="N63" s="8"/>
      <c r="O63" s="8"/>
    </row>
    <row r="64" customFormat="false" ht="24.75" hidden="false" customHeight="true" outlineLevel="0" collapsed="false">
      <c r="A64" s="7"/>
      <c r="B64" s="7"/>
      <c r="C64" s="8"/>
      <c r="D64" s="16"/>
      <c r="E64" s="16"/>
      <c r="F64" s="16"/>
      <c r="G64" s="16"/>
      <c r="H64" s="16"/>
      <c r="I64" s="8"/>
      <c r="J64" s="8"/>
      <c r="K64" s="8"/>
      <c r="L64" s="8"/>
      <c r="M64" s="8"/>
      <c r="N64" s="8"/>
      <c r="O64" s="8"/>
    </row>
    <row r="65" customFormat="false" ht="24.75" hidden="false" customHeight="true" outlineLevel="0" collapsed="false">
      <c r="A65" s="7"/>
      <c r="B65" s="7"/>
      <c r="C65" s="8"/>
      <c r="D65" s="16"/>
      <c r="E65" s="16"/>
      <c r="F65" s="16"/>
      <c r="G65" s="16"/>
      <c r="H65" s="16"/>
      <c r="I65" s="8"/>
      <c r="J65" s="8"/>
      <c r="K65" s="8"/>
      <c r="L65" s="8"/>
      <c r="M65" s="8"/>
      <c r="N65" s="8"/>
      <c r="O65" s="8"/>
    </row>
    <row r="66" customFormat="false" ht="24.75" hidden="false" customHeight="true" outlineLevel="0" collapsed="false">
      <c r="A66" s="7"/>
      <c r="B66" s="7"/>
      <c r="C66" s="8"/>
      <c r="D66" s="16"/>
      <c r="E66" s="16"/>
      <c r="F66" s="16"/>
      <c r="G66" s="16"/>
      <c r="H66" s="16"/>
      <c r="I66" s="8"/>
      <c r="J66" s="8"/>
      <c r="K66" s="8"/>
      <c r="L66" s="8"/>
      <c r="M66" s="8"/>
      <c r="N66" s="8"/>
      <c r="O66" s="8"/>
    </row>
    <row r="67" customFormat="false" ht="24.75" hidden="false" customHeight="true" outlineLevel="0" collapsed="false">
      <c r="A67" s="7"/>
      <c r="B67" s="7"/>
      <c r="C67" s="8"/>
      <c r="D67" s="16"/>
      <c r="E67" s="16"/>
      <c r="F67" s="16"/>
      <c r="G67" s="16"/>
      <c r="H67" s="16"/>
      <c r="I67" s="8"/>
      <c r="J67" s="8"/>
      <c r="K67" s="8"/>
      <c r="L67" s="8"/>
      <c r="M67" s="8"/>
      <c r="N67" s="8"/>
      <c r="O67" s="8"/>
    </row>
    <row r="68" customFormat="false" ht="24.75" hidden="false" customHeight="true" outlineLevel="0" collapsed="false">
      <c r="A68" s="7"/>
      <c r="B68" s="7"/>
      <c r="C68" s="8"/>
      <c r="D68" s="16"/>
      <c r="E68" s="16"/>
      <c r="F68" s="16"/>
      <c r="G68" s="16"/>
      <c r="H68" s="16"/>
      <c r="I68" s="8"/>
      <c r="J68" s="8"/>
      <c r="K68" s="8"/>
      <c r="L68" s="8"/>
      <c r="M68" s="8"/>
      <c r="N68" s="8"/>
      <c r="O68" s="8"/>
    </row>
    <row r="69" customFormat="false" ht="24.75" hidden="false" customHeight="true" outlineLevel="0" collapsed="false">
      <c r="A69" s="7"/>
      <c r="B69" s="7"/>
      <c r="C69" s="8"/>
      <c r="D69" s="16"/>
      <c r="E69" s="16"/>
      <c r="F69" s="16"/>
      <c r="G69" s="16"/>
      <c r="H69" s="16"/>
      <c r="I69" s="8"/>
      <c r="J69" s="8"/>
      <c r="K69" s="8"/>
      <c r="L69" s="8"/>
      <c r="M69" s="8"/>
      <c r="N69" s="8"/>
      <c r="O69" s="8"/>
    </row>
    <row r="70" customFormat="false" ht="24.75" hidden="false" customHeight="true" outlineLevel="0" collapsed="false">
      <c r="A70" s="7"/>
      <c r="B70" s="7"/>
      <c r="C70" s="8"/>
      <c r="D70" s="16"/>
      <c r="E70" s="16"/>
      <c r="F70" s="16"/>
      <c r="G70" s="16"/>
      <c r="H70" s="16"/>
      <c r="I70" s="8"/>
      <c r="J70" s="8"/>
      <c r="K70" s="8"/>
      <c r="L70" s="8"/>
      <c r="M70" s="8"/>
      <c r="N70" s="8"/>
      <c r="O70" s="8"/>
    </row>
    <row r="71" customFormat="false" ht="24.75" hidden="false" customHeight="true" outlineLevel="0" collapsed="false">
      <c r="A71" s="7"/>
      <c r="B71" s="7"/>
      <c r="C71" s="8"/>
      <c r="D71" s="16"/>
      <c r="E71" s="16"/>
      <c r="F71" s="16"/>
      <c r="G71" s="16"/>
      <c r="H71" s="16"/>
      <c r="I71" s="8"/>
      <c r="J71" s="8"/>
      <c r="K71" s="8"/>
      <c r="L71" s="8"/>
      <c r="M71" s="8"/>
      <c r="N71" s="8"/>
      <c r="O71" s="8"/>
    </row>
    <row r="72" customFormat="false" ht="24.75" hidden="false" customHeight="true" outlineLevel="0" collapsed="false">
      <c r="A72" s="7"/>
      <c r="B72" s="7"/>
      <c r="C72" s="8"/>
      <c r="D72" s="16"/>
      <c r="E72" s="16"/>
      <c r="F72" s="16"/>
      <c r="G72" s="16"/>
      <c r="H72" s="16"/>
      <c r="I72" s="8"/>
      <c r="J72" s="8"/>
      <c r="K72" s="8"/>
      <c r="L72" s="8"/>
      <c r="M72" s="8"/>
      <c r="N72" s="8"/>
      <c r="O72" s="8"/>
    </row>
    <row r="73" customFormat="false" ht="24.75" hidden="false" customHeight="true" outlineLevel="0" collapsed="false">
      <c r="A73" s="7"/>
      <c r="B73" s="7"/>
      <c r="C73" s="8"/>
      <c r="D73" s="16"/>
      <c r="E73" s="16"/>
      <c r="F73" s="16"/>
      <c r="G73" s="16"/>
      <c r="H73" s="16"/>
      <c r="I73" s="8"/>
      <c r="J73" s="8"/>
      <c r="K73" s="8"/>
      <c r="L73" s="8"/>
      <c r="M73" s="8"/>
      <c r="N73" s="8"/>
      <c r="O73" s="8"/>
    </row>
    <row r="74" customFormat="false" ht="24.75" hidden="false" customHeight="true" outlineLevel="0" collapsed="false">
      <c r="A74" s="7"/>
      <c r="B74" s="7"/>
      <c r="C74" s="8"/>
      <c r="D74" s="16"/>
      <c r="E74" s="16"/>
      <c r="F74" s="16"/>
      <c r="G74" s="16"/>
      <c r="H74" s="16"/>
      <c r="I74" s="8"/>
      <c r="J74" s="8"/>
      <c r="K74" s="8"/>
      <c r="L74" s="8"/>
      <c r="M74" s="8"/>
      <c r="N74" s="8"/>
      <c r="O74" s="8"/>
    </row>
    <row r="75" customFormat="false" ht="24.75" hidden="false" customHeight="true" outlineLevel="0" collapsed="false">
      <c r="A75" s="7"/>
      <c r="B75" s="7"/>
      <c r="C75" s="8"/>
      <c r="D75" s="16"/>
      <c r="E75" s="16"/>
      <c r="F75" s="16"/>
      <c r="G75" s="16"/>
      <c r="H75" s="16"/>
      <c r="I75" s="8"/>
      <c r="J75" s="8"/>
      <c r="K75" s="8"/>
      <c r="L75" s="8"/>
      <c r="M75" s="8"/>
      <c r="N75" s="8"/>
      <c r="O75" s="8"/>
    </row>
    <row r="76" customFormat="false" ht="24.75" hidden="false" customHeight="true" outlineLevel="0" collapsed="false">
      <c r="A76" s="7"/>
      <c r="B76" s="7"/>
      <c r="C76" s="8"/>
      <c r="D76" s="16"/>
      <c r="E76" s="16"/>
      <c r="F76" s="16"/>
      <c r="G76" s="16"/>
      <c r="H76" s="16"/>
      <c r="I76" s="8"/>
      <c r="J76" s="8"/>
      <c r="K76" s="8"/>
      <c r="L76" s="8"/>
      <c r="M76" s="8"/>
      <c r="N76" s="8"/>
      <c r="O76" s="8"/>
    </row>
    <row r="77" customFormat="false" ht="24.75" hidden="false" customHeight="true" outlineLevel="0" collapsed="false">
      <c r="A77" s="7"/>
      <c r="B77" s="7"/>
      <c r="C77" s="8"/>
      <c r="D77" s="16"/>
      <c r="E77" s="16"/>
      <c r="F77" s="16"/>
      <c r="G77" s="16"/>
      <c r="H77" s="16"/>
      <c r="I77" s="8"/>
      <c r="J77" s="8"/>
      <c r="K77" s="8"/>
      <c r="L77" s="8"/>
      <c r="M77" s="8"/>
      <c r="N77" s="8"/>
      <c r="O77" s="8"/>
    </row>
    <row r="78" customFormat="false" ht="24.75" hidden="false" customHeight="true" outlineLevel="0" collapsed="false">
      <c r="A78" s="7"/>
      <c r="B78" s="7"/>
      <c r="C78" s="8"/>
      <c r="D78" s="16"/>
      <c r="E78" s="16"/>
      <c r="F78" s="16"/>
      <c r="G78" s="16"/>
      <c r="H78" s="16"/>
      <c r="I78" s="8"/>
      <c r="J78" s="8"/>
      <c r="K78" s="8"/>
      <c r="L78" s="8"/>
      <c r="M78" s="8"/>
      <c r="N78" s="8"/>
      <c r="O78" s="8"/>
    </row>
    <row r="79" customFormat="false" ht="24.75" hidden="false" customHeight="true" outlineLevel="0" collapsed="false">
      <c r="A79" s="7"/>
      <c r="B79" s="7"/>
      <c r="C79" s="8"/>
      <c r="D79" s="16"/>
      <c r="E79" s="16"/>
      <c r="F79" s="16"/>
      <c r="G79" s="16"/>
      <c r="H79" s="16"/>
      <c r="I79" s="8"/>
      <c r="J79" s="8"/>
      <c r="K79" s="8"/>
      <c r="L79" s="8"/>
      <c r="M79" s="8"/>
      <c r="N79" s="8"/>
      <c r="O79" s="8"/>
    </row>
    <row r="80" customFormat="false" ht="24.75" hidden="false" customHeight="true" outlineLevel="0" collapsed="false">
      <c r="A80" s="7"/>
      <c r="B80" s="7"/>
      <c r="C80" s="8"/>
      <c r="D80" s="16"/>
      <c r="E80" s="16"/>
      <c r="F80" s="16"/>
      <c r="G80" s="16"/>
      <c r="H80" s="16"/>
      <c r="I80" s="8"/>
      <c r="J80" s="8"/>
      <c r="K80" s="8"/>
      <c r="L80" s="8"/>
      <c r="M80" s="8"/>
      <c r="N80" s="8"/>
      <c r="O80" s="8"/>
    </row>
    <row r="81" customFormat="false" ht="24.75" hidden="false" customHeight="true" outlineLevel="0" collapsed="false">
      <c r="A81" s="7"/>
      <c r="B81" s="7"/>
      <c r="C81" s="8"/>
      <c r="D81" s="16"/>
      <c r="E81" s="16"/>
      <c r="F81" s="16"/>
      <c r="G81" s="16"/>
      <c r="H81" s="16"/>
      <c r="I81" s="8"/>
      <c r="J81" s="8"/>
      <c r="K81" s="8"/>
      <c r="L81" s="8"/>
      <c r="M81" s="8"/>
      <c r="N81" s="8"/>
      <c r="O81" s="8"/>
    </row>
    <row r="82" customFormat="false" ht="24.75" hidden="false" customHeight="true" outlineLevel="0" collapsed="false">
      <c r="A82" s="7"/>
      <c r="B82" s="7"/>
      <c r="C82" s="8"/>
      <c r="D82" s="16"/>
      <c r="E82" s="16"/>
      <c r="F82" s="16"/>
      <c r="G82" s="16"/>
      <c r="H82" s="16"/>
      <c r="I82" s="8"/>
      <c r="J82" s="8"/>
      <c r="K82" s="8"/>
      <c r="L82" s="8"/>
      <c r="M82" s="8"/>
      <c r="N82" s="8"/>
      <c r="O82" s="8"/>
    </row>
    <row r="83" customFormat="false" ht="24.75" hidden="false" customHeight="true" outlineLevel="0" collapsed="false">
      <c r="A83" s="7"/>
      <c r="B83" s="7"/>
      <c r="C83" s="8"/>
      <c r="D83" s="16"/>
      <c r="E83" s="16"/>
      <c r="F83" s="16"/>
      <c r="G83" s="16"/>
      <c r="H83" s="16"/>
      <c r="I83" s="8"/>
      <c r="J83" s="8"/>
      <c r="K83" s="8"/>
      <c r="L83" s="8"/>
      <c r="M83" s="8"/>
      <c r="N83" s="8"/>
      <c r="O83" s="8"/>
    </row>
    <row r="84" customFormat="false" ht="24.75" hidden="false" customHeight="true" outlineLevel="0" collapsed="false">
      <c r="A84" s="7"/>
      <c r="B84" s="7"/>
      <c r="C84" s="8"/>
      <c r="D84" s="16"/>
      <c r="E84" s="16"/>
      <c r="F84" s="16"/>
      <c r="G84" s="16"/>
      <c r="H84" s="16"/>
      <c r="I84" s="8"/>
      <c r="J84" s="8"/>
      <c r="K84" s="8"/>
      <c r="L84" s="8"/>
      <c r="M84" s="8"/>
      <c r="N84" s="8"/>
      <c r="O84" s="8"/>
    </row>
    <row r="85" customFormat="false" ht="24.75" hidden="false" customHeight="true" outlineLevel="0" collapsed="false">
      <c r="A85" s="7"/>
      <c r="B85" s="7"/>
      <c r="C85" s="8"/>
      <c r="D85" s="16"/>
      <c r="E85" s="16"/>
      <c r="F85" s="16"/>
      <c r="G85" s="16"/>
      <c r="H85" s="16"/>
      <c r="I85" s="8"/>
      <c r="J85" s="8"/>
      <c r="K85" s="8"/>
      <c r="L85" s="8"/>
      <c r="M85" s="8"/>
      <c r="N85" s="8"/>
      <c r="O85" s="8"/>
    </row>
    <row r="86" customFormat="false" ht="24.75" hidden="false" customHeight="true" outlineLevel="0" collapsed="false">
      <c r="A86" s="7"/>
      <c r="B86" s="7"/>
      <c r="C86" s="8"/>
      <c r="D86" s="16"/>
      <c r="E86" s="16"/>
      <c r="F86" s="16"/>
      <c r="G86" s="16"/>
      <c r="H86" s="16"/>
      <c r="I86" s="8"/>
      <c r="J86" s="8"/>
      <c r="K86" s="8"/>
      <c r="L86" s="8"/>
      <c r="M86" s="8"/>
      <c r="N86" s="8"/>
      <c r="O86" s="8"/>
    </row>
    <row r="87" customFormat="false" ht="24.75" hidden="false" customHeight="true" outlineLevel="0" collapsed="false">
      <c r="A87" s="7"/>
      <c r="B87" s="7"/>
      <c r="C87" s="8"/>
      <c r="D87" s="16"/>
      <c r="E87" s="16"/>
      <c r="F87" s="16"/>
      <c r="G87" s="16"/>
      <c r="H87" s="16"/>
      <c r="I87" s="8"/>
      <c r="J87" s="8"/>
      <c r="K87" s="8"/>
      <c r="L87" s="8"/>
      <c r="M87" s="8"/>
      <c r="N87" s="8"/>
      <c r="O87" s="8"/>
    </row>
    <row r="88" customFormat="false" ht="24.75" hidden="false" customHeight="true" outlineLevel="0" collapsed="false">
      <c r="A88" s="7"/>
      <c r="B88" s="7"/>
      <c r="C88" s="8"/>
      <c r="D88" s="16"/>
      <c r="E88" s="16"/>
      <c r="F88" s="16"/>
      <c r="G88" s="16"/>
      <c r="H88" s="16"/>
      <c r="I88" s="8"/>
      <c r="J88" s="8"/>
      <c r="K88" s="8"/>
      <c r="L88" s="8"/>
      <c r="M88" s="8"/>
      <c r="N88" s="8"/>
      <c r="O88" s="8"/>
    </row>
    <row r="89" customFormat="false" ht="24.75" hidden="false" customHeight="true" outlineLevel="0" collapsed="false">
      <c r="A89" s="7"/>
      <c r="B89" s="7"/>
      <c r="C89" s="8"/>
      <c r="D89" s="16"/>
      <c r="E89" s="16"/>
      <c r="F89" s="16"/>
      <c r="G89" s="16"/>
      <c r="H89" s="16"/>
      <c r="I89" s="8"/>
      <c r="J89" s="8"/>
      <c r="K89" s="8"/>
      <c r="L89" s="8"/>
      <c r="M89" s="8"/>
      <c r="N89" s="8"/>
      <c r="O89" s="8"/>
    </row>
    <row r="90" customFormat="false" ht="24.75" hidden="false" customHeight="true" outlineLevel="0" collapsed="false">
      <c r="A90" s="7"/>
      <c r="B90" s="7"/>
      <c r="C90" s="8"/>
      <c r="D90" s="16"/>
      <c r="E90" s="16"/>
      <c r="F90" s="16"/>
      <c r="G90" s="16"/>
      <c r="H90" s="16"/>
      <c r="I90" s="8"/>
      <c r="J90" s="8"/>
      <c r="K90" s="8"/>
      <c r="L90" s="8"/>
      <c r="M90" s="8"/>
      <c r="N90" s="8"/>
      <c r="O90" s="8"/>
    </row>
    <row r="91" customFormat="false" ht="24.75" hidden="false" customHeight="true" outlineLevel="0" collapsed="false">
      <c r="A91" s="7"/>
      <c r="B91" s="7"/>
      <c r="C91" s="8"/>
      <c r="D91" s="16"/>
      <c r="E91" s="16"/>
      <c r="F91" s="16"/>
      <c r="G91" s="16"/>
      <c r="H91" s="16"/>
      <c r="I91" s="8"/>
      <c r="J91" s="8"/>
      <c r="K91" s="8"/>
      <c r="L91" s="8"/>
      <c r="M91" s="8"/>
      <c r="N91" s="8"/>
      <c r="O91" s="8"/>
    </row>
    <row r="92" customFormat="false" ht="24.75" hidden="false" customHeight="true" outlineLevel="0" collapsed="false">
      <c r="A92" s="7"/>
      <c r="B92" s="7"/>
      <c r="C92" s="8"/>
      <c r="D92" s="16"/>
      <c r="E92" s="16"/>
      <c r="F92" s="16"/>
      <c r="G92" s="16"/>
      <c r="H92" s="16"/>
      <c r="I92" s="8"/>
      <c r="J92" s="8"/>
      <c r="K92" s="8"/>
      <c r="L92" s="8"/>
      <c r="M92" s="8"/>
      <c r="N92" s="8"/>
      <c r="O92" s="8"/>
    </row>
    <row r="93" customFormat="false" ht="24.75" hidden="false" customHeight="true" outlineLevel="0" collapsed="false">
      <c r="A93" s="7"/>
      <c r="B93" s="7"/>
      <c r="C93" s="8"/>
      <c r="D93" s="16"/>
      <c r="E93" s="16"/>
      <c r="F93" s="16"/>
      <c r="G93" s="16"/>
      <c r="H93" s="16"/>
      <c r="I93" s="8"/>
      <c r="J93" s="8"/>
      <c r="K93" s="8"/>
      <c r="L93" s="8"/>
      <c r="M93" s="8"/>
      <c r="N93" s="8"/>
      <c r="O93" s="8"/>
    </row>
    <row r="94" customFormat="false" ht="24.75" hidden="false" customHeight="true" outlineLevel="0" collapsed="false">
      <c r="A94" s="7"/>
      <c r="B94" s="7"/>
      <c r="C94" s="8"/>
      <c r="D94" s="16"/>
      <c r="E94" s="16"/>
      <c r="F94" s="16"/>
      <c r="G94" s="16"/>
      <c r="H94" s="16"/>
      <c r="I94" s="8"/>
      <c r="J94" s="8"/>
      <c r="K94" s="8"/>
      <c r="L94" s="8"/>
      <c r="M94" s="8"/>
      <c r="N94" s="8"/>
      <c r="O94" s="8"/>
    </row>
    <row r="95" customFormat="false" ht="24.75" hidden="false" customHeight="true" outlineLevel="0" collapsed="false">
      <c r="A95" s="7"/>
      <c r="B95" s="7"/>
      <c r="C95" s="8"/>
      <c r="D95" s="16"/>
      <c r="E95" s="16"/>
      <c r="F95" s="16"/>
      <c r="G95" s="16"/>
      <c r="H95" s="16"/>
      <c r="I95" s="8"/>
      <c r="J95" s="8"/>
      <c r="K95" s="8"/>
      <c r="L95" s="8"/>
      <c r="M95" s="8"/>
      <c r="N95" s="8"/>
      <c r="O95" s="8"/>
    </row>
    <row r="96" customFormat="false" ht="24.75" hidden="false" customHeight="true" outlineLevel="0" collapsed="false">
      <c r="A96" s="7"/>
      <c r="B96" s="7"/>
      <c r="C96" s="8"/>
      <c r="D96" s="16"/>
      <c r="E96" s="16"/>
      <c r="F96" s="16"/>
      <c r="G96" s="16"/>
      <c r="H96" s="16"/>
      <c r="I96" s="8"/>
      <c r="J96" s="8"/>
      <c r="K96" s="8"/>
      <c r="L96" s="8"/>
      <c r="M96" s="8"/>
      <c r="N96" s="8"/>
      <c r="O96" s="8"/>
    </row>
    <row r="97" customFormat="false" ht="24.75" hidden="false" customHeight="true" outlineLevel="0" collapsed="false">
      <c r="A97" s="7"/>
      <c r="B97" s="7"/>
      <c r="C97" s="8"/>
      <c r="D97" s="16"/>
      <c r="E97" s="16"/>
      <c r="F97" s="16"/>
      <c r="G97" s="16"/>
      <c r="H97" s="16"/>
      <c r="I97" s="8"/>
      <c r="J97" s="8"/>
      <c r="K97" s="8"/>
      <c r="L97" s="8"/>
      <c r="M97" s="8"/>
      <c r="N97" s="8"/>
      <c r="O97" s="8"/>
    </row>
    <row r="98" customFormat="false" ht="24.75" hidden="false" customHeight="true" outlineLevel="0" collapsed="false">
      <c r="A98" s="7"/>
      <c r="B98" s="7"/>
      <c r="C98" s="8"/>
      <c r="D98" s="16"/>
      <c r="E98" s="16"/>
      <c r="F98" s="16"/>
      <c r="G98" s="16"/>
      <c r="H98" s="16"/>
      <c r="I98" s="8"/>
      <c r="J98" s="8"/>
      <c r="K98" s="8"/>
      <c r="L98" s="8"/>
      <c r="M98" s="8"/>
      <c r="N98" s="8"/>
      <c r="O98" s="8"/>
    </row>
    <row r="99" customFormat="false" ht="24.75" hidden="false" customHeight="true" outlineLevel="0" collapsed="false">
      <c r="A99" s="7"/>
      <c r="B99" s="7"/>
      <c r="C99" s="8"/>
      <c r="D99" s="16"/>
      <c r="E99" s="16"/>
      <c r="F99" s="16"/>
      <c r="G99" s="16"/>
      <c r="H99" s="16"/>
      <c r="I99" s="8"/>
      <c r="J99" s="8"/>
      <c r="K99" s="8"/>
      <c r="L99" s="8"/>
      <c r="M99" s="8"/>
      <c r="N99" s="8"/>
      <c r="O99" s="8"/>
    </row>
    <row r="100" customFormat="false" ht="24.75" hidden="false" customHeight="true" outlineLevel="0" collapsed="false">
      <c r="A100" s="7"/>
      <c r="B100" s="7"/>
      <c r="C100" s="8"/>
      <c r="D100" s="16"/>
      <c r="E100" s="16"/>
      <c r="F100" s="16"/>
      <c r="G100" s="16"/>
      <c r="H100" s="16"/>
      <c r="I100" s="8"/>
      <c r="J100" s="8"/>
      <c r="K100" s="8"/>
      <c r="L100" s="8"/>
      <c r="M100" s="8"/>
      <c r="N100" s="8"/>
      <c r="O100" s="8"/>
    </row>
    <row r="101" customFormat="false" ht="24.75" hidden="false" customHeight="true" outlineLevel="0" collapsed="false">
      <c r="A101" s="7"/>
      <c r="B101" s="7"/>
      <c r="C101" s="8"/>
      <c r="D101" s="16"/>
      <c r="E101" s="16"/>
      <c r="F101" s="16"/>
      <c r="G101" s="16"/>
      <c r="H101" s="16"/>
      <c r="I101" s="8"/>
      <c r="J101" s="8"/>
      <c r="K101" s="8"/>
      <c r="L101" s="8"/>
      <c r="M101" s="8"/>
      <c r="N101" s="8"/>
      <c r="O101" s="8"/>
    </row>
    <row r="102" customFormat="false" ht="24.75" hidden="false" customHeight="true" outlineLevel="0" collapsed="false">
      <c r="A102" s="7"/>
      <c r="B102" s="7"/>
      <c r="C102" s="8"/>
      <c r="D102" s="16"/>
      <c r="E102" s="16"/>
      <c r="F102" s="16"/>
      <c r="G102" s="16"/>
      <c r="H102" s="16"/>
      <c r="I102" s="8"/>
      <c r="J102" s="8"/>
      <c r="K102" s="8"/>
      <c r="L102" s="8"/>
      <c r="M102" s="8"/>
      <c r="N102" s="8"/>
      <c r="O102" s="8"/>
    </row>
    <row r="103" customFormat="false" ht="24.75" hidden="false" customHeight="true" outlineLevel="0" collapsed="false">
      <c r="A103" s="7"/>
      <c r="B103" s="7"/>
      <c r="C103" s="8"/>
      <c r="D103" s="16"/>
      <c r="E103" s="16"/>
      <c r="F103" s="16"/>
      <c r="G103" s="16"/>
      <c r="H103" s="16"/>
      <c r="I103" s="8"/>
      <c r="J103" s="8"/>
      <c r="K103" s="8"/>
      <c r="L103" s="8"/>
      <c r="M103" s="8"/>
      <c r="N103" s="8"/>
      <c r="O103" s="8"/>
    </row>
    <row r="104" customFormat="false" ht="24.75" hidden="false" customHeight="true" outlineLevel="0" collapsed="false">
      <c r="A104" s="7"/>
      <c r="B104" s="7"/>
      <c r="C104" s="8"/>
      <c r="D104" s="16"/>
      <c r="E104" s="16"/>
      <c r="F104" s="16"/>
      <c r="G104" s="16"/>
      <c r="H104" s="16"/>
      <c r="I104" s="8"/>
      <c r="J104" s="8"/>
      <c r="K104" s="8"/>
      <c r="L104" s="8"/>
      <c r="M104" s="8"/>
      <c r="N104" s="8"/>
      <c r="O104" s="8"/>
    </row>
    <row r="105" customFormat="false" ht="24.75" hidden="false" customHeight="true" outlineLevel="0" collapsed="false">
      <c r="A105" s="7"/>
      <c r="B105" s="7"/>
      <c r="C105" s="8"/>
      <c r="D105" s="16"/>
      <c r="E105" s="16"/>
      <c r="F105" s="16"/>
      <c r="G105" s="16"/>
      <c r="H105" s="16"/>
      <c r="I105" s="8"/>
      <c r="J105" s="8"/>
      <c r="K105" s="8"/>
      <c r="L105" s="8"/>
      <c r="M105" s="8"/>
      <c r="N105" s="8"/>
      <c r="O105" s="8"/>
    </row>
    <row r="106" customFormat="false" ht="24.75" hidden="false" customHeight="true" outlineLevel="0" collapsed="false">
      <c r="A106" s="7"/>
      <c r="B106" s="7"/>
      <c r="C106" s="8"/>
      <c r="D106" s="16"/>
      <c r="E106" s="16"/>
      <c r="F106" s="16"/>
      <c r="G106" s="16"/>
      <c r="H106" s="16"/>
      <c r="I106" s="8"/>
      <c r="J106" s="8"/>
      <c r="K106" s="8"/>
      <c r="L106" s="8"/>
      <c r="M106" s="8"/>
      <c r="N106" s="8"/>
      <c r="O106" s="8"/>
    </row>
    <row r="107" customFormat="false" ht="24.75" hidden="false" customHeight="true" outlineLevel="0" collapsed="false">
      <c r="A107" s="7"/>
      <c r="B107" s="7"/>
      <c r="C107" s="8"/>
      <c r="D107" s="16"/>
      <c r="E107" s="16"/>
      <c r="F107" s="16"/>
      <c r="G107" s="16"/>
      <c r="H107" s="16"/>
      <c r="I107" s="8"/>
      <c r="J107" s="8"/>
      <c r="K107" s="8"/>
      <c r="L107" s="8"/>
      <c r="M107" s="8"/>
      <c r="N107" s="8"/>
      <c r="O107" s="8"/>
    </row>
    <row r="108" customFormat="false" ht="24.75" hidden="false" customHeight="true" outlineLevel="0" collapsed="false">
      <c r="A108" s="7"/>
      <c r="B108" s="7"/>
      <c r="C108" s="8"/>
      <c r="D108" s="16"/>
      <c r="E108" s="16"/>
      <c r="F108" s="16"/>
      <c r="G108" s="16"/>
      <c r="H108" s="16"/>
      <c r="I108" s="8"/>
      <c r="J108" s="8"/>
      <c r="K108" s="8"/>
      <c r="L108" s="8"/>
      <c r="M108" s="8"/>
      <c r="N108" s="8"/>
      <c r="O108" s="8"/>
    </row>
    <row r="109" customFormat="false" ht="24.75" hidden="false" customHeight="true" outlineLevel="0" collapsed="false">
      <c r="A109" s="7"/>
      <c r="B109" s="7"/>
      <c r="C109" s="8"/>
      <c r="D109" s="16"/>
      <c r="E109" s="16"/>
      <c r="F109" s="16"/>
      <c r="G109" s="16"/>
      <c r="H109" s="16"/>
      <c r="I109" s="8"/>
      <c r="J109" s="8"/>
      <c r="K109" s="8"/>
      <c r="L109" s="8"/>
      <c r="M109" s="8"/>
      <c r="N109" s="8"/>
      <c r="O109" s="8"/>
    </row>
    <row r="110" customFormat="false" ht="24.75" hidden="false" customHeight="true" outlineLevel="0" collapsed="false">
      <c r="A110" s="7"/>
      <c r="B110" s="7"/>
      <c r="C110" s="8"/>
      <c r="D110" s="16"/>
      <c r="E110" s="16"/>
      <c r="F110" s="16"/>
      <c r="G110" s="16"/>
      <c r="H110" s="16"/>
      <c r="I110" s="8"/>
      <c r="J110" s="8"/>
      <c r="K110" s="8"/>
      <c r="L110" s="8"/>
      <c r="M110" s="8"/>
      <c r="N110" s="8"/>
      <c r="O110" s="8"/>
    </row>
    <row r="111" customFormat="false" ht="24.75" hidden="false" customHeight="true" outlineLevel="0" collapsed="false">
      <c r="A111" s="7"/>
      <c r="B111" s="7"/>
      <c r="C111" s="8"/>
      <c r="D111" s="16"/>
      <c r="E111" s="16"/>
      <c r="F111" s="16"/>
      <c r="G111" s="16"/>
      <c r="H111" s="16"/>
      <c r="I111" s="8"/>
      <c r="J111" s="8"/>
      <c r="K111" s="8"/>
      <c r="L111" s="8"/>
      <c r="M111" s="8"/>
      <c r="N111" s="8"/>
      <c r="O111" s="8"/>
    </row>
    <row r="112" customFormat="false" ht="24.75" hidden="false" customHeight="true" outlineLevel="0" collapsed="false">
      <c r="A112" s="7"/>
      <c r="B112" s="7"/>
      <c r="C112" s="8"/>
      <c r="D112" s="16"/>
      <c r="E112" s="16"/>
      <c r="F112" s="16"/>
      <c r="G112" s="16"/>
      <c r="H112" s="16"/>
      <c r="I112" s="8"/>
      <c r="J112" s="8"/>
      <c r="K112" s="8"/>
      <c r="L112" s="8"/>
      <c r="M112" s="8"/>
      <c r="N112" s="8"/>
      <c r="O112" s="8"/>
    </row>
    <row r="113" customFormat="false" ht="24.75" hidden="false" customHeight="true" outlineLevel="0" collapsed="false">
      <c r="A113" s="7"/>
      <c r="B113" s="7"/>
      <c r="C113" s="8"/>
      <c r="D113" s="16"/>
      <c r="E113" s="16"/>
      <c r="F113" s="16"/>
      <c r="G113" s="16"/>
      <c r="H113" s="16"/>
      <c r="I113" s="8"/>
      <c r="J113" s="8"/>
      <c r="K113" s="8"/>
      <c r="L113" s="8"/>
      <c r="M113" s="8"/>
      <c r="N113" s="8"/>
      <c r="O113" s="8"/>
    </row>
    <row r="114" customFormat="false" ht="24.75" hidden="false" customHeight="true" outlineLevel="0" collapsed="false">
      <c r="A114" s="7"/>
      <c r="B114" s="7"/>
      <c r="C114" s="8"/>
      <c r="D114" s="16"/>
      <c r="E114" s="16"/>
      <c r="F114" s="16"/>
      <c r="G114" s="16"/>
      <c r="H114" s="16"/>
      <c r="I114" s="8"/>
      <c r="J114" s="8"/>
      <c r="K114" s="8"/>
      <c r="L114" s="8"/>
      <c r="M114" s="8"/>
      <c r="N114" s="8"/>
      <c r="O114" s="8"/>
    </row>
    <row r="115" customFormat="false" ht="24.75" hidden="false" customHeight="true" outlineLevel="0" collapsed="false">
      <c r="A115" s="7"/>
      <c r="B115" s="7"/>
      <c r="C115" s="8"/>
      <c r="D115" s="16"/>
      <c r="E115" s="16"/>
      <c r="F115" s="16"/>
      <c r="G115" s="16"/>
      <c r="H115" s="16"/>
      <c r="I115" s="8"/>
      <c r="J115" s="8"/>
      <c r="K115" s="8"/>
      <c r="L115" s="8"/>
      <c r="M115" s="8"/>
      <c r="N115" s="8"/>
      <c r="O115" s="8"/>
    </row>
  </sheetData>
  <mergeCells count="4">
    <mergeCell ref="C2:H2"/>
    <mergeCell ref="C4:E4"/>
    <mergeCell ref="C28:E28"/>
    <mergeCell ref="C29:E29"/>
  </mergeCells>
  <dataValidations count="2">
    <dataValidation allowBlank="false" errorStyle="stop" operator="between" showDropDown="false" showErrorMessage="false" showInputMessage="false" sqref="D7" type="decimal">
      <formula1>0</formula1>
      <formula2>0.8</formula2>
    </dataValidation>
    <dataValidation allowBlank="false" errorStyle="stop" operator="between" showDropDown="false" showErrorMessage="false" showInputMessage="false" sqref="D10" type="decimal">
      <formula1>0</formula1>
      <formula2>0.99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8B525"/>
    <pageSetUpPr fitToPage="false"/>
  </sheetPr>
  <dimension ref="A1:O11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1" width="3"/>
    <col collapsed="false" customWidth="true" hidden="false" outlineLevel="0" max="3" min="3" style="1" width="38"/>
    <col collapsed="false" customWidth="true" hidden="false" outlineLevel="0" max="4" min="4" style="1" width="22"/>
    <col collapsed="false" customWidth="true" hidden="false" outlineLevel="0" max="5" min="5" style="1" width="44"/>
    <col collapsed="false" customWidth="true" hidden="false" outlineLevel="0" max="10" min="6" style="1" width="37"/>
    <col collapsed="false" customWidth="true" hidden="false" outlineLevel="0" max="15" min="11" style="1" width="15"/>
  </cols>
  <sheetData>
    <row r="1" customFormat="false" ht="15" hidden="false" customHeight="false" outlineLevel="0" collapsed="false">
      <c r="A1" s="7"/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customFormat="false" ht="36.75" hidden="false" customHeight="true" outlineLevel="0" collapsed="false">
      <c r="A2" s="7"/>
      <c r="B2" s="7"/>
      <c r="C2" s="59" t="s">
        <v>515</v>
      </c>
      <c r="D2" s="59"/>
      <c r="E2" s="59"/>
      <c r="F2" s="59"/>
      <c r="G2" s="59"/>
      <c r="H2" s="59"/>
      <c r="I2" s="8"/>
      <c r="J2" s="8"/>
      <c r="K2" s="8"/>
      <c r="L2" s="8"/>
      <c r="M2" s="8"/>
      <c r="N2" s="8"/>
      <c r="O2" s="8"/>
    </row>
    <row r="3" customFormat="false" ht="15" hidden="false" customHeight="false" outlineLevel="0" collapsed="false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customFormat="false" ht="24.75" hidden="false" customHeight="true" outlineLevel="0" collapsed="false">
      <c r="A4" s="7"/>
      <c r="B4" s="7"/>
      <c r="C4" s="53"/>
      <c r="D4" s="53"/>
      <c r="E4" s="53"/>
      <c r="F4" s="53"/>
      <c r="G4" s="53"/>
      <c r="H4" s="53"/>
      <c r="I4" s="53"/>
      <c r="J4" s="53"/>
      <c r="K4" s="8"/>
      <c r="L4" s="8"/>
      <c r="M4" s="8"/>
      <c r="N4" s="8"/>
      <c r="O4" s="8"/>
    </row>
    <row r="5" customFormat="false" ht="48" hidden="false" customHeight="true" outlineLevel="0" collapsed="false">
      <c r="A5" s="7"/>
      <c r="B5" s="7"/>
      <c r="C5" s="68" t="s">
        <v>516</v>
      </c>
      <c r="D5" s="69" t="s">
        <v>517</v>
      </c>
      <c r="E5" s="69" t="s">
        <v>518</v>
      </c>
      <c r="F5" s="69" t="s">
        <v>519</v>
      </c>
      <c r="G5" s="69" t="s">
        <v>520</v>
      </c>
      <c r="H5" s="57"/>
      <c r="I5" s="53"/>
      <c r="J5" s="53"/>
      <c r="K5" s="8"/>
      <c r="L5" s="8"/>
      <c r="M5" s="8"/>
      <c r="N5" s="8"/>
      <c r="O5" s="8"/>
    </row>
    <row r="6" customFormat="false" ht="61.5" hidden="false" customHeight="true" outlineLevel="0" collapsed="false">
      <c r="A6" s="7"/>
      <c r="B6" s="7"/>
      <c r="C6" s="53" t="s">
        <v>521</v>
      </c>
      <c r="D6" s="57" t="s">
        <v>522</v>
      </c>
      <c r="E6" s="57" t="s">
        <v>523</v>
      </c>
      <c r="F6" s="57" t="s">
        <v>524</v>
      </c>
      <c r="G6" s="57" t="s">
        <v>525</v>
      </c>
      <c r="H6" s="57"/>
      <c r="I6" s="53"/>
      <c r="J6" s="53"/>
      <c r="K6" s="8"/>
      <c r="L6" s="8"/>
      <c r="M6" s="8"/>
      <c r="N6" s="8"/>
      <c r="O6" s="8"/>
    </row>
    <row r="7" customFormat="false" ht="61.5" hidden="false" customHeight="true" outlineLevel="0" collapsed="false">
      <c r="A7" s="7"/>
      <c r="B7" s="7"/>
      <c r="C7" s="53" t="s">
        <v>526</v>
      </c>
      <c r="D7" s="57" t="s">
        <v>527</v>
      </c>
      <c r="E7" s="57" t="s">
        <v>528</v>
      </c>
      <c r="F7" s="57" t="s">
        <v>529</v>
      </c>
      <c r="G7" s="57" t="s">
        <v>530</v>
      </c>
      <c r="H7" s="57"/>
      <c r="I7" s="53"/>
      <c r="J7" s="53"/>
      <c r="K7" s="8"/>
      <c r="L7" s="8"/>
      <c r="M7" s="8"/>
      <c r="N7" s="8"/>
      <c r="O7" s="8"/>
    </row>
    <row r="8" customFormat="false" ht="61.5" hidden="false" customHeight="true" outlineLevel="0" collapsed="false">
      <c r="A8" s="7"/>
      <c r="B8" s="7"/>
      <c r="C8" s="53" t="s">
        <v>531</v>
      </c>
      <c r="D8" s="57" t="s">
        <v>522</v>
      </c>
      <c r="E8" s="57" t="s">
        <v>532</v>
      </c>
      <c r="F8" s="57" t="s">
        <v>533</v>
      </c>
      <c r="G8" s="57" t="s">
        <v>534</v>
      </c>
      <c r="H8" s="57"/>
      <c r="I8" s="53"/>
      <c r="J8" s="53"/>
      <c r="K8" s="8"/>
      <c r="L8" s="8"/>
      <c r="M8" s="8"/>
      <c r="N8" s="8"/>
      <c r="O8" s="8"/>
    </row>
    <row r="9" customFormat="false" ht="61.5" hidden="false" customHeight="true" outlineLevel="0" collapsed="false">
      <c r="A9" s="7"/>
      <c r="B9" s="7"/>
      <c r="C9" s="53" t="s">
        <v>535</v>
      </c>
      <c r="D9" s="57" t="s">
        <v>49</v>
      </c>
      <c r="E9" s="57" t="s">
        <v>536</v>
      </c>
      <c r="F9" s="57" t="s">
        <v>537</v>
      </c>
      <c r="G9" s="57" t="s">
        <v>538</v>
      </c>
      <c r="H9" s="57"/>
      <c r="I9" s="53"/>
      <c r="J9" s="53"/>
      <c r="K9" s="8"/>
      <c r="L9" s="8"/>
      <c r="M9" s="8"/>
      <c r="N9" s="8"/>
      <c r="O9" s="8"/>
    </row>
    <row r="10" customFormat="false" ht="61.5" hidden="false" customHeight="true" outlineLevel="0" collapsed="false">
      <c r="A10" s="7"/>
      <c r="B10" s="7"/>
      <c r="C10" s="53" t="s">
        <v>46</v>
      </c>
      <c r="D10" s="57" t="s">
        <v>539</v>
      </c>
      <c r="E10" s="57" t="s">
        <v>540</v>
      </c>
      <c r="F10" s="57" t="s">
        <v>541</v>
      </c>
      <c r="G10" s="57" t="s">
        <v>542</v>
      </c>
      <c r="H10" s="57"/>
      <c r="I10" s="53"/>
      <c r="J10" s="53"/>
      <c r="K10" s="8"/>
      <c r="L10" s="8"/>
      <c r="M10" s="8"/>
      <c r="N10" s="8"/>
      <c r="O10" s="8"/>
    </row>
    <row r="11" customFormat="false" ht="61.5" hidden="false" customHeight="true" outlineLevel="0" collapsed="false">
      <c r="A11" s="7"/>
      <c r="B11" s="7"/>
      <c r="C11" s="53" t="s">
        <v>543</v>
      </c>
      <c r="D11" s="57" t="s">
        <v>544</v>
      </c>
      <c r="E11" s="57" t="s">
        <v>545</v>
      </c>
      <c r="F11" s="57" t="s">
        <v>546</v>
      </c>
      <c r="G11" s="57" t="s">
        <v>547</v>
      </c>
      <c r="H11" s="57"/>
      <c r="I11" s="53"/>
      <c r="J11" s="53"/>
      <c r="K11" s="8"/>
      <c r="L11" s="8"/>
      <c r="M11" s="8"/>
      <c r="N11" s="8"/>
      <c r="O11" s="8"/>
    </row>
    <row r="12" customFormat="false" ht="61.5" hidden="false" customHeight="true" outlineLevel="0" collapsed="false">
      <c r="A12" s="7"/>
      <c r="B12" s="7"/>
      <c r="C12" s="53" t="s">
        <v>548</v>
      </c>
      <c r="D12" s="57" t="s">
        <v>49</v>
      </c>
      <c r="E12" s="57" t="s">
        <v>549</v>
      </c>
      <c r="F12" s="57" t="s">
        <v>550</v>
      </c>
      <c r="G12" s="57" t="s">
        <v>551</v>
      </c>
      <c r="H12" s="57"/>
      <c r="I12" s="53"/>
      <c r="J12" s="53"/>
      <c r="K12" s="8"/>
      <c r="L12" s="8"/>
      <c r="M12" s="8"/>
      <c r="N12" s="8"/>
      <c r="O12" s="8"/>
    </row>
    <row r="13" customFormat="false" ht="61.5" hidden="false" customHeight="true" outlineLevel="0" collapsed="false">
      <c r="A13" s="7"/>
      <c r="B13" s="7"/>
      <c r="C13" s="53" t="s">
        <v>552</v>
      </c>
      <c r="D13" s="57" t="s">
        <v>48</v>
      </c>
      <c r="E13" s="57" t="s">
        <v>553</v>
      </c>
      <c r="F13" s="57" t="s">
        <v>554</v>
      </c>
      <c r="G13" s="57" t="s">
        <v>555</v>
      </c>
      <c r="H13" s="57"/>
      <c r="I13" s="53"/>
      <c r="J13" s="53"/>
      <c r="K13" s="8"/>
      <c r="L13" s="8"/>
      <c r="M13" s="8"/>
      <c r="N13" s="8"/>
      <c r="O13" s="8"/>
    </row>
    <row r="14" customFormat="false" ht="61.5" hidden="false" customHeight="true" outlineLevel="0" collapsed="false">
      <c r="A14" s="7"/>
      <c r="B14" s="7"/>
      <c r="C14" s="53" t="s">
        <v>556</v>
      </c>
      <c r="D14" s="57" t="s">
        <v>48</v>
      </c>
      <c r="E14" s="57" t="s">
        <v>557</v>
      </c>
      <c r="F14" s="57" t="s">
        <v>558</v>
      </c>
      <c r="G14" s="57" t="s">
        <v>559</v>
      </c>
      <c r="H14" s="57"/>
      <c r="I14" s="53"/>
      <c r="J14" s="53"/>
      <c r="K14" s="8"/>
      <c r="L14" s="8"/>
      <c r="M14" s="8"/>
      <c r="N14" s="8"/>
      <c r="O14" s="8"/>
    </row>
    <row r="15" customFormat="false" ht="61.5" hidden="false" customHeight="true" outlineLevel="0" collapsed="false">
      <c r="A15" s="7"/>
      <c r="B15" s="7"/>
      <c r="C15" s="53"/>
      <c r="D15" s="57"/>
      <c r="E15" s="57"/>
      <c r="F15" s="57"/>
      <c r="G15" s="57"/>
      <c r="H15" s="57"/>
      <c r="I15" s="53"/>
      <c r="J15" s="53"/>
      <c r="K15" s="8"/>
      <c r="L15" s="8"/>
      <c r="M15" s="8"/>
      <c r="N15" s="8"/>
      <c r="O15" s="8"/>
    </row>
    <row r="16" customFormat="false" ht="61.5" hidden="false" customHeight="true" outlineLevel="0" collapsed="false">
      <c r="A16" s="7"/>
      <c r="B16" s="7"/>
      <c r="C16" s="53"/>
      <c r="D16" s="57"/>
      <c r="E16" s="57"/>
      <c r="F16" s="57"/>
      <c r="G16" s="57"/>
      <c r="H16" s="57"/>
      <c r="I16" s="53"/>
      <c r="J16" s="53"/>
      <c r="K16" s="8"/>
      <c r="L16" s="8"/>
      <c r="M16" s="8"/>
      <c r="N16" s="8"/>
      <c r="O16" s="8"/>
    </row>
    <row r="17" customFormat="false" ht="39" hidden="false" customHeight="true" outlineLevel="0" collapsed="false">
      <c r="A17" s="7"/>
      <c r="B17" s="7"/>
      <c r="C17" s="65" t="s">
        <v>560</v>
      </c>
      <c r="D17" s="65"/>
      <c r="E17" s="65"/>
      <c r="F17" s="65"/>
      <c r="G17" s="65"/>
      <c r="H17" s="65"/>
      <c r="I17" s="53"/>
      <c r="J17" s="53"/>
      <c r="K17" s="8"/>
      <c r="L17" s="8"/>
      <c r="M17" s="8"/>
      <c r="N17" s="8"/>
      <c r="O17" s="8"/>
    </row>
    <row r="18" customFormat="false" ht="61.5" hidden="false" customHeight="true" outlineLevel="0" collapsed="false">
      <c r="A18" s="7"/>
      <c r="B18" s="7"/>
      <c r="C18" s="53"/>
      <c r="D18" s="57"/>
      <c r="E18" s="57"/>
      <c r="F18" s="57"/>
      <c r="G18" s="57"/>
      <c r="H18" s="57"/>
      <c r="I18" s="53"/>
      <c r="J18" s="53"/>
      <c r="K18" s="8"/>
      <c r="L18" s="8"/>
      <c r="M18" s="8"/>
      <c r="N18" s="8"/>
      <c r="O18" s="8"/>
    </row>
    <row r="19" customFormat="false" ht="61.5" hidden="false" customHeight="true" outlineLevel="0" collapsed="false">
      <c r="A19" s="7"/>
      <c r="B19" s="7"/>
      <c r="C19" s="53"/>
      <c r="D19" s="57"/>
      <c r="E19" s="57"/>
      <c r="F19" s="57"/>
      <c r="G19" s="57"/>
      <c r="H19" s="57"/>
      <c r="I19" s="53"/>
      <c r="J19" s="53"/>
      <c r="K19" s="8"/>
      <c r="L19" s="8"/>
      <c r="M19" s="8"/>
      <c r="N19" s="8"/>
      <c r="O19" s="8"/>
    </row>
    <row r="20" customFormat="false" ht="61.5" hidden="false" customHeight="true" outlineLevel="0" collapsed="false">
      <c r="A20" s="7"/>
      <c r="B20" s="7"/>
      <c r="C20" s="53"/>
      <c r="D20" s="57"/>
      <c r="E20" s="57"/>
      <c r="F20" s="57"/>
      <c r="G20" s="57"/>
      <c r="H20" s="57"/>
      <c r="I20" s="53"/>
      <c r="J20" s="53"/>
      <c r="K20" s="8"/>
      <c r="L20" s="8"/>
      <c r="M20" s="8"/>
      <c r="N20" s="8"/>
      <c r="O20" s="8"/>
    </row>
    <row r="21" customFormat="false" ht="61.5" hidden="false" customHeight="true" outlineLevel="0" collapsed="false">
      <c r="A21" s="7"/>
      <c r="B21" s="7"/>
      <c r="C21" s="53"/>
      <c r="D21" s="57"/>
      <c r="E21" s="57"/>
      <c r="F21" s="57"/>
      <c r="G21" s="57"/>
      <c r="H21" s="57"/>
      <c r="I21" s="53"/>
      <c r="J21" s="53"/>
      <c r="K21" s="8"/>
      <c r="L21" s="8"/>
      <c r="M21" s="8"/>
      <c r="N21" s="8"/>
      <c r="O21" s="8"/>
    </row>
    <row r="22" customFormat="false" ht="61.5" hidden="false" customHeight="true" outlineLevel="0" collapsed="false">
      <c r="A22" s="7"/>
      <c r="B22" s="7"/>
      <c r="C22" s="53"/>
      <c r="D22" s="57"/>
      <c r="E22" s="57"/>
      <c r="F22" s="57"/>
      <c r="G22" s="57"/>
      <c r="H22" s="57"/>
      <c r="I22" s="53"/>
      <c r="J22" s="53"/>
      <c r="K22" s="8"/>
      <c r="L22" s="8"/>
      <c r="M22" s="8"/>
      <c r="N22" s="8"/>
      <c r="O22" s="8"/>
    </row>
    <row r="23" customFormat="false" ht="61.5" hidden="false" customHeight="true" outlineLevel="0" collapsed="false">
      <c r="A23" s="7"/>
      <c r="B23" s="7"/>
      <c r="C23" s="53"/>
      <c r="D23" s="57"/>
      <c r="E23" s="57"/>
      <c r="F23" s="57"/>
      <c r="G23" s="57"/>
      <c r="H23" s="57"/>
      <c r="I23" s="53"/>
      <c r="J23" s="53"/>
      <c r="K23" s="8"/>
      <c r="L23" s="8"/>
      <c r="M23" s="8"/>
      <c r="N23" s="8"/>
      <c r="O23" s="8"/>
    </row>
    <row r="24" customFormat="false" ht="61.5" hidden="false" customHeight="true" outlineLevel="0" collapsed="false">
      <c r="A24" s="7"/>
      <c r="B24" s="7"/>
      <c r="C24" s="53"/>
      <c r="D24" s="57"/>
      <c r="E24" s="57"/>
      <c r="F24" s="57"/>
      <c r="G24" s="57"/>
      <c r="H24" s="57"/>
      <c r="I24" s="53"/>
      <c r="J24" s="53"/>
      <c r="K24" s="8"/>
      <c r="L24" s="8"/>
      <c r="M24" s="8"/>
      <c r="N24" s="8"/>
      <c r="O24" s="8"/>
    </row>
    <row r="25" customFormat="false" ht="61.5" hidden="false" customHeight="true" outlineLevel="0" collapsed="false">
      <c r="A25" s="7"/>
      <c r="B25" s="7"/>
      <c r="C25" s="53"/>
      <c r="D25" s="57"/>
      <c r="E25" s="57"/>
      <c r="F25" s="57"/>
      <c r="G25" s="57"/>
      <c r="H25" s="57"/>
      <c r="I25" s="53"/>
      <c r="J25" s="53"/>
      <c r="K25" s="8"/>
      <c r="L25" s="8"/>
      <c r="M25" s="8"/>
      <c r="N25" s="8"/>
      <c r="O25" s="8"/>
    </row>
    <row r="26" customFormat="false" ht="61.5" hidden="false" customHeight="true" outlineLevel="0" collapsed="false">
      <c r="A26" s="7"/>
      <c r="B26" s="7"/>
      <c r="C26" s="53"/>
      <c r="D26" s="57"/>
      <c r="E26" s="57"/>
      <c r="F26" s="57"/>
      <c r="G26" s="57"/>
      <c r="H26" s="57"/>
      <c r="I26" s="53"/>
      <c r="J26" s="53"/>
      <c r="K26" s="8"/>
      <c r="L26" s="8"/>
      <c r="M26" s="8"/>
      <c r="N26" s="8"/>
      <c r="O26" s="8"/>
    </row>
    <row r="27" customFormat="false" ht="61.5" hidden="false" customHeight="true" outlineLevel="0" collapsed="false">
      <c r="A27" s="7"/>
      <c r="B27" s="7"/>
      <c r="C27" s="53"/>
      <c r="D27" s="57"/>
      <c r="E27" s="57"/>
      <c r="F27" s="57"/>
      <c r="G27" s="57"/>
      <c r="H27" s="57"/>
      <c r="I27" s="53"/>
      <c r="J27" s="53"/>
      <c r="K27" s="8"/>
      <c r="L27" s="8"/>
      <c r="M27" s="8"/>
      <c r="N27" s="8"/>
      <c r="O27" s="8"/>
    </row>
    <row r="28" customFormat="false" ht="61.5" hidden="false" customHeight="true" outlineLevel="0" collapsed="false">
      <c r="A28" s="7"/>
      <c r="B28" s="7"/>
      <c r="C28" s="53"/>
      <c r="D28" s="57"/>
      <c r="E28" s="57"/>
      <c r="F28" s="57"/>
      <c r="G28" s="57"/>
      <c r="H28" s="57"/>
      <c r="I28" s="53"/>
      <c r="J28" s="53"/>
      <c r="K28" s="8"/>
      <c r="L28" s="8"/>
      <c r="M28" s="8"/>
      <c r="N28" s="8"/>
      <c r="O28" s="8"/>
    </row>
    <row r="29" customFormat="false" ht="61.5" hidden="false" customHeight="true" outlineLevel="0" collapsed="false">
      <c r="A29" s="7"/>
      <c r="B29" s="7"/>
      <c r="C29" s="53"/>
      <c r="D29" s="57"/>
      <c r="E29" s="57"/>
      <c r="F29" s="57"/>
      <c r="G29" s="57"/>
      <c r="H29" s="57"/>
      <c r="I29" s="53"/>
      <c r="J29" s="53"/>
      <c r="K29" s="8"/>
      <c r="L29" s="8"/>
      <c r="M29" s="8"/>
      <c r="N29" s="8"/>
      <c r="O29" s="8"/>
    </row>
    <row r="30" customFormat="false" ht="61.5" hidden="false" customHeight="true" outlineLevel="0" collapsed="false">
      <c r="A30" s="7"/>
      <c r="B30" s="7"/>
      <c r="C30" s="53"/>
      <c r="D30" s="57"/>
      <c r="E30" s="57"/>
      <c r="F30" s="57"/>
      <c r="G30" s="57"/>
      <c r="H30" s="57"/>
      <c r="I30" s="53"/>
      <c r="J30" s="53"/>
      <c r="K30" s="8"/>
      <c r="L30" s="8"/>
      <c r="M30" s="8"/>
      <c r="N30" s="8"/>
      <c r="O30" s="8"/>
    </row>
    <row r="31" customFormat="false" ht="61.5" hidden="false" customHeight="true" outlineLevel="0" collapsed="false">
      <c r="A31" s="7"/>
      <c r="B31" s="7"/>
      <c r="C31" s="53"/>
      <c r="D31" s="57"/>
      <c r="E31" s="57"/>
      <c r="F31" s="57"/>
      <c r="G31" s="57"/>
      <c r="H31" s="57"/>
      <c r="I31" s="53"/>
      <c r="J31" s="53"/>
      <c r="K31" s="8"/>
      <c r="L31" s="8"/>
      <c r="M31" s="8"/>
      <c r="N31" s="8"/>
      <c r="O31" s="8"/>
    </row>
    <row r="32" customFormat="false" ht="61.5" hidden="false" customHeight="true" outlineLevel="0" collapsed="false">
      <c r="A32" s="7"/>
      <c r="B32" s="7"/>
      <c r="C32" s="53"/>
      <c r="D32" s="57"/>
      <c r="E32" s="57"/>
      <c r="F32" s="57"/>
      <c r="G32" s="57"/>
      <c r="H32" s="57"/>
      <c r="I32" s="53"/>
      <c r="J32" s="53"/>
      <c r="K32" s="8"/>
      <c r="L32" s="8"/>
      <c r="M32" s="8"/>
      <c r="N32" s="8"/>
      <c r="O32" s="8"/>
    </row>
    <row r="33" customFormat="false" ht="61.5" hidden="false" customHeight="true" outlineLevel="0" collapsed="false">
      <c r="A33" s="7"/>
      <c r="B33" s="7"/>
      <c r="C33" s="53"/>
      <c r="D33" s="57"/>
      <c r="E33" s="57"/>
      <c r="F33" s="57"/>
      <c r="G33" s="57"/>
      <c r="H33" s="57"/>
      <c r="I33" s="53"/>
      <c r="J33" s="53"/>
      <c r="K33" s="8"/>
      <c r="L33" s="8"/>
      <c r="M33" s="8"/>
      <c r="N33" s="8"/>
      <c r="O33" s="8"/>
    </row>
    <row r="34" customFormat="false" ht="61.5" hidden="false" customHeight="true" outlineLevel="0" collapsed="false">
      <c r="A34" s="7"/>
      <c r="B34" s="7"/>
      <c r="C34" s="53"/>
      <c r="D34" s="57"/>
      <c r="E34" s="57"/>
      <c r="F34" s="57"/>
      <c r="G34" s="57"/>
      <c r="H34" s="57"/>
      <c r="I34" s="53"/>
      <c r="J34" s="53"/>
      <c r="K34" s="8"/>
      <c r="L34" s="8"/>
      <c r="M34" s="8"/>
      <c r="N34" s="8"/>
      <c r="O34" s="8"/>
    </row>
    <row r="35" customFormat="false" ht="61.5" hidden="false" customHeight="true" outlineLevel="0" collapsed="false">
      <c r="A35" s="7"/>
      <c r="B35" s="7"/>
      <c r="C35" s="53"/>
      <c r="D35" s="57"/>
      <c r="E35" s="57"/>
      <c r="F35" s="57"/>
      <c r="G35" s="57"/>
      <c r="H35" s="57"/>
      <c r="I35" s="53"/>
      <c r="J35" s="53"/>
      <c r="K35" s="8"/>
      <c r="L35" s="8"/>
      <c r="M35" s="8"/>
      <c r="N35" s="8"/>
      <c r="O35" s="8"/>
    </row>
    <row r="36" customFormat="false" ht="61.5" hidden="false" customHeight="true" outlineLevel="0" collapsed="false">
      <c r="A36" s="7"/>
      <c r="B36" s="7"/>
      <c r="C36" s="53"/>
      <c r="D36" s="57"/>
      <c r="E36" s="57"/>
      <c r="F36" s="57"/>
      <c r="G36" s="57"/>
      <c r="H36" s="57"/>
      <c r="I36" s="53"/>
      <c r="J36" s="53"/>
      <c r="K36" s="8"/>
      <c r="L36" s="8"/>
      <c r="M36" s="8"/>
      <c r="N36" s="8"/>
      <c r="O36" s="8"/>
    </row>
    <row r="37" customFormat="false" ht="61.5" hidden="false" customHeight="true" outlineLevel="0" collapsed="false">
      <c r="A37" s="7"/>
      <c r="B37" s="7"/>
      <c r="C37" s="53"/>
      <c r="D37" s="57"/>
      <c r="E37" s="57"/>
      <c r="F37" s="57"/>
      <c r="G37" s="57"/>
      <c r="H37" s="57"/>
      <c r="I37" s="53"/>
      <c r="J37" s="53"/>
      <c r="K37" s="8"/>
      <c r="L37" s="8"/>
      <c r="M37" s="8"/>
      <c r="N37" s="8"/>
      <c r="O37" s="8"/>
    </row>
    <row r="38" customFormat="false" ht="61.5" hidden="false" customHeight="true" outlineLevel="0" collapsed="false">
      <c r="A38" s="7"/>
      <c r="B38" s="7"/>
      <c r="C38" s="53"/>
      <c r="D38" s="57"/>
      <c r="E38" s="57"/>
      <c r="F38" s="57"/>
      <c r="G38" s="57"/>
      <c r="H38" s="57"/>
      <c r="I38" s="53"/>
      <c r="J38" s="53"/>
      <c r="K38" s="8"/>
      <c r="L38" s="8"/>
      <c r="M38" s="8"/>
      <c r="N38" s="8"/>
      <c r="O38" s="8"/>
    </row>
    <row r="39" customFormat="false" ht="61.5" hidden="false" customHeight="true" outlineLevel="0" collapsed="false">
      <c r="A39" s="7"/>
      <c r="B39" s="7"/>
      <c r="C39" s="53"/>
      <c r="D39" s="57"/>
      <c r="E39" s="57"/>
      <c r="F39" s="57"/>
      <c r="G39" s="57"/>
      <c r="H39" s="57"/>
      <c r="I39" s="53"/>
      <c r="J39" s="53"/>
      <c r="K39" s="8"/>
      <c r="L39" s="8"/>
      <c r="M39" s="8"/>
      <c r="N39" s="8"/>
      <c r="O39" s="8"/>
    </row>
    <row r="40" customFormat="false" ht="61.5" hidden="false" customHeight="true" outlineLevel="0" collapsed="false">
      <c r="A40" s="7"/>
      <c r="B40" s="7"/>
      <c r="C40" s="53"/>
      <c r="D40" s="57"/>
      <c r="E40" s="57"/>
      <c r="F40" s="57"/>
      <c r="G40" s="57"/>
      <c r="H40" s="57"/>
      <c r="I40" s="53"/>
      <c r="J40" s="53"/>
      <c r="K40" s="8"/>
      <c r="L40" s="8"/>
      <c r="M40" s="8"/>
      <c r="N40" s="8"/>
      <c r="O40" s="8"/>
    </row>
    <row r="41" customFormat="false" ht="24.75" hidden="false" customHeight="true" outlineLevel="0" collapsed="false">
      <c r="A41" s="7"/>
      <c r="B41" s="7"/>
      <c r="C41" s="8"/>
      <c r="D41" s="16"/>
      <c r="E41" s="16"/>
      <c r="F41" s="16"/>
      <c r="G41" s="16"/>
      <c r="H41" s="16"/>
      <c r="I41" s="8"/>
      <c r="J41" s="8"/>
      <c r="K41" s="8"/>
      <c r="L41" s="8"/>
      <c r="M41" s="8"/>
      <c r="N41" s="8"/>
      <c r="O41" s="8"/>
    </row>
    <row r="42" customFormat="false" ht="24.75" hidden="false" customHeight="true" outlineLevel="0" collapsed="false">
      <c r="A42" s="7"/>
      <c r="B42" s="7"/>
      <c r="C42" s="8"/>
      <c r="D42" s="16"/>
      <c r="E42" s="16"/>
      <c r="F42" s="16"/>
      <c r="G42" s="16"/>
      <c r="H42" s="16"/>
      <c r="I42" s="8"/>
      <c r="J42" s="8"/>
      <c r="K42" s="8"/>
      <c r="L42" s="8"/>
      <c r="M42" s="8"/>
      <c r="N42" s="8"/>
      <c r="O42" s="8"/>
    </row>
    <row r="43" customFormat="false" ht="24.75" hidden="false" customHeight="true" outlineLevel="0" collapsed="false">
      <c r="A43" s="7"/>
      <c r="B43" s="7"/>
      <c r="C43" s="8"/>
      <c r="D43" s="16"/>
      <c r="E43" s="16"/>
      <c r="F43" s="16"/>
      <c r="G43" s="16"/>
      <c r="H43" s="16"/>
      <c r="I43" s="8"/>
      <c r="J43" s="8"/>
      <c r="K43" s="8"/>
      <c r="L43" s="8"/>
      <c r="M43" s="8"/>
      <c r="N43" s="8"/>
      <c r="O43" s="8"/>
    </row>
    <row r="44" customFormat="false" ht="24.75" hidden="false" customHeight="true" outlineLevel="0" collapsed="false">
      <c r="A44" s="7"/>
      <c r="B44" s="7"/>
      <c r="C44" s="8"/>
      <c r="D44" s="16"/>
      <c r="E44" s="16"/>
      <c r="F44" s="16"/>
      <c r="G44" s="16"/>
      <c r="H44" s="16"/>
      <c r="I44" s="8"/>
      <c r="J44" s="8"/>
      <c r="K44" s="8"/>
      <c r="L44" s="8"/>
      <c r="M44" s="8"/>
      <c r="N44" s="8"/>
      <c r="O44" s="8"/>
    </row>
    <row r="45" customFormat="false" ht="24.75" hidden="false" customHeight="true" outlineLevel="0" collapsed="false">
      <c r="A45" s="7"/>
      <c r="B45" s="7"/>
      <c r="C45" s="8"/>
      <c r="D45" s="16"/>
      <c r="E45" s="16"/>
      <c r="F45" s="16"/>
      <c r="G45" s="16"/>
      <c r="H45" s="16"/>
      <c r="I45" s="8"/>
      <c r="J45" s="8"/>
      <c r="K45" s="8"/>
      <c r="L45" s="8"/>
      <c r="M45" s="8"/>
      <c r="N45" s="8"/>
      <c r="O45" s="8"/>
    </row>
    <row r="46" customFormat="false" ht="24.75" hidden="false" customHeight="true" outlineLevel="0" collapsed="false">
      <c r="A46" s="7"/>
      <c r="B46" s="7"/>
      <c r="C46" s="8"/>
      <c r="D46" s="16"/>
      <c r="E46" s="16"/>
      <c r="F46" s="16"/>
      <c r="G46" s="16"/>
      <c r="H46" s="16"/>
      <c r="I46" s="8"/>
      <c r="J46" s="8"/>
      <c r="K46" s="8"/>
      <c r="L46" s="8"/>
      <c r="M46" s="8"/>
      <c r="N46" s="8"/>
      <c r="O46" s="8"/>
    </row>
    <row r="47" customFormat="false" ht="24.75" hidden="false" customHeight="true" outlineLevel="0" collapsed="false">
      <c r="A47" s="7"/>
      <c r="B47" s="7"/>
      <c r="C47" s="8"/>
      <c r="D47" s="16"/>
      <c r="E47" s="16"/>
      <c r="F47" s="16"/>
      <c r="G47" s="16"/>
      <c r="H47" s="16"/>
      <c r="I47" s="8"/>
      <c r="J47" s="8"/>
      <c r="K47" s="8"/>
      <c r="L47" s="8"/>
      <c r="M47" s="8"/>
      <c r="N47" s="8"/>
      <c r="O47" s="8"/>
    </row>
    <row r="48" customFormat="false" ht="24.75" hidden="false" customHeight="true" outlineLevel="0" collapsed="false">
      <c r="A48" s="7"/>
      <c r="B48" s="7"/>
      <c r="C48" s="8"/>
      <c r="D48" s="16"/>
      <c r="E48" s="16"/>
      <c r="F48" s="16"/>
      <c r="G48" s="16"/>
      <c r="H48" s="16"/>
      <c r="I48" s="8"/>
      <c r="J48" s="8"/>
      <c r="K48" s="8"/>
      <c r="L48" s="8"/>
      <c r="M48" s="8"/>
      <c r="N48" s="8"/>
      <c r="O48" s="8"/>
    </row>
    <row r="49" customFormat="false" ht="24.75" hidden="false" customHeight="true" outlineLevel="0" collapsed="false">
      <c r="A49" s="7"/>
      <c r="B49" s="7"/>
      <c r="C49" s="8"/>
      <c r="D49" s="16"/>
      <c r="E49" s="16"/>
      <c r="F49" s="16"/>
      <c r="G49" s="16"/>
      <c r="H49" s="16"/>
      <c r="I49" s="8"/>
      <c r="J49" s="8"/>
      <c r="K49" s="8"/>
      <c r="L49" s="8"/>
      <c r="M49" s="8"/>
      <c r="N49" s="8"/>
      <c r="O49" s="8"/>
    </row>
    <row r="50" customFormat="false" ht="24.75" hidden="false" customHeight="true" outlineLevel="0" collapsed="false">
      <c r="A50" s="7"/>
      <c r="B50" s="7"/>
      <c r="C50" s="8"/>
      <c r="D50" s="16"/>
      <c r="E50" s="16"/>
      <c r="F50" s="16"/>
      <c r="G50" s="16"/>
      <c r="H50" s="16"/>
      <c r="I50" s="8"/>
      <c r="J50" s="8"/>
      <c r="K50" s="8"/>
      <c r="L50" s="8"/>
      <c r="M50" s="8"/>
      <c r="N50" s="8"/>
      <c r="O50" s="8"/>
    </row>
    <row r="51" customFormat="false" ht="24.75" hidden="false" customHeight="true" outlineLevel="0" collapsed="false">
      <c r="A51" s="7"/>
      <c r="B51" s="7"/>
      <c r="C51" s="8"/>
      <c r="D51" s="16"/>
      <c r="E51" s="16"/>
      <c r="F51" s="16"/>
      <c r="G51" s="16"/>
      <c r="H51" s="16"/>
      <c r="I51" s="8"/>
      <c r="J51" s="8"/>
      <c r="K51" s="8"/>
      <c r="L51" s="8"/>
      <c r="M51" s="8"/>
      <c r="N51" s="8"/>
      <c r="O51" s="8"/>
    </row>
    <row r="52" customFormat="false" ht="24.75" hidden="false" customHeight="true" outlineLevel="0" collapsed="false">
      <c r="A52" s="7"/>
      <c r="B52" s="7"/>
      <c r="C52" s="8"/>
      <c r="D52" s="16"/>
      <c r="E52" s="16"/>
      <c r="F52" s="16"/>
      <c r="G52" s="16"/>
      <c r="H52" s="16"/>
      <c r="I52" s="8"/>
      <c r="J52" s="8"/>
      <c r="K52" s="8"/>
      <c r="L52" s="8"/>
      <c r="M52" s="8"/>
      <c r="N52" s="8"/>
      <c r="O52" s="8"/>
    </row>
    <row r="53" customFormat="false" ht="24.75" hidden="false" customHeight="true" outlineLevel="0" collapsed="false">
      <c r="A53" s="7"/>
      <c r="B53" s="7"/>
      <c r="C53" s="8"/>
      <c r="D53" s="16"/>
      <c r="E53" s="16"/>
      <c r="F53" s="16"/>
      <c r="G53" s="16"/>
      <c r="H53" s="16"/>
      <c r="I53" s="8"/>
      <c r="J53" s="8"/>
      <c r="K53" s="8"/>
      <c r="L53" s="8"/>
      <c r="M53" s="8"/>
      <c r="N53" s="8"/>
      <c r="O53" s="8"/>
    </row>
    <row r="54" customFormat="false" ht="24.75" hidden="false" customHeight="true" outlineLevel="0" collapsed="false">
      <c r="A54" s="7"/>
      <c r="B54" s="7"/>
      <c r="C54" s="8"/>
      <c r="D54" s="16"/>
      <c r="E54" s="16"/>
      <c r="F54" s="16"/>
      <c r="G54" s="16"/>
      <c r="H54" s="16"/>
      <c r="I54" s="8"/>
      <c r="J54" s="8"/>
      <c r="K54" s="8"/>
      <c r="L54" s="8"/>
      <c r="M54" s="8"/>
      <c r="N54" s="8"/>
      <c r="O54" s="8"/>
    </row>
    <row r="55" customFormat="false" ht="24.75" hidden="false" customHeight="true" outlineLevel="0" collapsed="false">
      <c r="A55" s="7"/>
      <c r="B55" s="7"/>
      <c r="C55" s="8"/>
      <c r="D55" s="16"/>
      <c r="E55" s="16"/>
      <c r="F55" s="16"/>
      <c r="G55" s="16"/>
      <c r="H55" s="16"/>
      <c r="I55" s="8"/>
      <c r="J55" s="8"/>
      <c r="K55" s="8"/>
      <c r="L55" s="8"/>
      <c r="M55" s="8"/>
      <c r="N55" s="8"/>
      <c r="O55" s="8"/>
    </row>
    <row r="56" customFormat="false" ht="24.75" hidden="false" customHeight="true" outlineLevel="0" collapsed="false">
      <c r="A56" s="7"/>
      <c r="B56" s="7"/>
      <c r="C56" s="8"/>
      <c r="D56" s="16"/>
      <c r="E56" s="16"/>
      <c r="F56" s="16"/>
      <c r="G56" s="16"/>
      <c r="H56" s="16"/>
      <c r="I56" s="8"/>
      <c r="J56" s="8"/>
      <c r="K56" s="8"/>
      <c r="L56" s="8"/>
      <c r="M56" s="8"/>
      <c r="N56" s="8"/>
      <c r="O56" s="8"/>
    </row>
    <row r="57" customFormat="false" ht="24.75" hidden="false" customHeight="true" outlineLevel="0" collapsed="false">
      <c r="A57" s="7"/>
      <c r="B57" s="7"/>
      <c r="C57" s="8"/>
      <c r="D57" s="16"/>
      <c r="E57" s="16"/>
      <c r="F57" s="16"/>
      <c r="G57" s="16"/>
      <c r="H57" s="16"/>
      <c r="I57" s="8"/>
      <c r="J57" s="8"/>
      <c r="K57" s="8"/>
      <c r="L57" s="8"/>
      <c r="M57" s="8"/>
      <c r="N57" s="8"/>
      <c r="O57" s="8"/>
    </row>
    <row r="58" customFormat="false" ht="24.75" hidden="false" customHeight="true" outlineLevel="0" collapsed="false">
      <c r="A58" s="7"/>
      <c r="B58" s="7"/>
      <c r="C58" s="8"/>
      <c r="D58" s="16"/>
      <c r="E58" s="16"/>
      <c r="F58" s="16"/>
      <c r="G58" s="16"/>
      <c r="H58" s="16"/>
      <c r="I58" s="8"/>
      <c r="J58" s="8"/>
      <c r="K58" s="8"/>
      <c r="L58" s="8"/>
      <c r="M58" s="8"/>
      <c r="N58" s="8"/>
      <c r="O58" s="8"/>
    </row>
    <row r="59" customFormat="false" ht="24.75" hidden="false" customHeight="true" outlineLevel="0" collapsed="false">
      <c r="A59" s="7"/>
      <c r="B59" s="7"/>
      <c r="C59" s="8"/>
      <c r="D59" s="16"/>
      <c r="E59" s="16"/>
      <c r="F59" s="16"/>
      <c r="G59" s="16"/>
      <c r="H59" s="16"/>
      <c r="I59" s="8"/>
      <c r="J59" s="8"/>
      <c r="K59" s="8"/>
      <c r="L59" s="8"/>
      <c r="M59" s="8"/>
      <c r="N59" s="8"/>
      <c r="O59" s="8"/>
    </row>
    <row r="60" customFormat="false" ht="24.75" hidden="false" customHeight="true" outlineLevel="0" collapsed="false">
      <c r="A60" s="7"/>
      <c r="B60" s="7"/>
      <c r="C60" s="8"/>
      <c r="D60" s="16"/>
      <c r="E60" s="16"/>
      <c r="F60" s="16"/>
      <c r="G60" s="16"/>
      <c r="H60" s="16"/>
      <c r="I60" s="8"/>
      <c r="J60" s="8"/>
      <c r="K60" s="8"/>
      <c r="L60" s="8"/>
      <c r="M60" s="8"/>
      <c r="N60" s="8"/>
      <c r="O60" s="8"/>
    </row>
    <row r="61" customFormat="false" ht="24.75" hidden="false" customHeight="true" outlineLevel="0" collapsed="false">
      <c r="A61" s="7"/>
      <c r="B61" s="7"/>
      <c r="C61" s="8"/>
      <c r="D61" s="16"/>
      <c r="E61" s="16"/>
      <c r="F61" s="16"/>
      <c r="G61" s="16"/>
      <c r="H61" s="16"/>
      <c r="I61" s="8"/>
      <c r="J61" s="8"/>
      <c r="K61" s="8"/>
      <c r="L61" s="8"/>
      <c r="M61" s="8"/>
      <c r="N61" s="8"/>
      <c r="O61" s="8"/>
    </row>
    <row r="62" customFormat="false" ht="24.75" hidden="false" customHeight="true" outlineLevel="0" collapsed="false">
      <c r="A62" s="7"/>
      <c r="B62" s="7"/>
      <c r="C62" s="8"/>
      <c r="D62" s="16"/>
      <c r="E62" s="16"/>
      <c r="F62" s="16"/>
      <c r="G62" s="16"/>
      <c r="H62" s="16"/>
      <c r="I62" s="8"/>
      <c r="J62" s="8"/>
      <c r="K62" s="8"/>
      <c r="L62" s="8"/>
      <c r="M62" s="8"/>
      <c r="N62" s="8"/>
      <c r="O62" s="8"/>
    </row>
    <row r="63" customFormat="false" ht="24.75" hidden="false" customHeight="true" outlineLevel="0" collapsed="false">
      <c r="A63" s="7"/>
      <c r="B63" s="7"/>
      <c r="C63" s="8"/>
      <c r="D63" s="16"/>
      <c r="E63" s="16"/>
      <c r="F63" s="16"/>
      <c r="G63" s="16"/>
      <c r="H63" s="16"/>
      <c r="I63" s="8"/>
      <c r="J63" s="8"/>
      <c r="K63" s="8"/>
      <c r="L63" s="8"/>
      <c r="M63" s="8"/>
      <c r="N63" s="8"/>
      <c r="O63" s="8"/>
    </row>
    <row r="64" customFormat="false" ht="24.75" hidden="false" customHeight="true" outlineLevel="0" collapsed="false">
      <c r="A64" s="7"/>
      <c r="B64" s="7"/>
      <c r="C64" s="8"/>
      <c r="D64" s="16"/>
      <c r="E64" s="16"/>
      <c r="F64" s="16"/>
      <c r="G64" s="16"/>
      <c r="H64" s="16"/>
      <c r="I64" s="8"/>
      <c r="J64" s="8"/>
      <c r="K64" s="8"/>
      <c r="L64" s="8"/>
      <c r="M64" s="8"/>
      <c r="N64" s="8"/>
      <c r="O64" s="8"/>
    </row>
    <row r="65" customFormat="false" ht="24.75" hidden="false" customHeight="true" outlineLevel="0" collapsed="false">
      <c r="A65" s="7"/>
      <c r="B65" s="7"/>
      <c r="C65" s="8"/>
      <c r="D65" s="16"/>
      <c r="E65" s="16"/>
      <c r="F65" s="16"/>
      <c r="G65" s="16"/>
      <c r="H65" s="16"/>
      <c r="I65" s="8"/>
      <c r="J65" s="8"/>
      <c r="K65" s="8"/>
      <c r="L65" s="8"/>
      <c r="M65" s="8"/>
      <c r="N65" s="8"/>
      <c r="O65" s="8"/>
    </row>
    <row r="66" customFormat="false" ht="24.75" hidden="false" customHeight="true" outlineLevel="0" collapsed="false">
      <c r="A66" s="7"/>
      <c r="B66" s="7"/>
      <c r="C66" s="8"/>
      <c r="D66" s="16"/>
      <c r="E66" s="16"/>
      <c r="F66" s="16"/>
      <c r="G66" s="16"/>
      <c r="H66" s="16"/>
      <c r="I66" s="8"/>
      <c r="J66" s="8"/>
      <c r="K66" s="8"/>
      <c r="L66" s="8"/>
      <c r="M66" s="8"/>
      <c r="N66" s="8"/>
      <c r="O66" s="8"/>
    </row>
    <row r="67" customFormat="false" ht="24.75" hidden="false" customHeight="true" outlineLevel="0" collapsed="false">
      <c r="A67" s="7"/>
      <c r="B67" s="7"/>
      <c r="C67" s="8"/>
      <c r="D67" s="16"/>
      <c r="E67" s="16"/>
      <c r="F67" s="16"/>
      <c r="G67" s="16"/>
      <c r="H67" s="16"/>
      <c r="I67" s="8"/>
      <c r="J67" s="8"/>
      <c r="K67" s="8"/>
      <c r="L67" s="8"/>
      <c r="M67" s="8"/>
      <c r="N67" s="8"/>
      <c r="O67" s="8"/>
    </row>
    <row r="68" customFormat="false" ht="24.75" hidden="false" customHeight="true" outlineLevel="0" collapsed="false">
      <c r="A68" s="7"/>
      <c r="B68" s="7"/>
      <c r="C68" s="8"/>
      <c r="D68" s="16"/>
      <c r="E68" s="16"/>
      <c r="F68" s="16"/>
      <c r="G68" s="16"/>
      <c r="H68" s="16"/>
      <c r="I68" s="8"/>
      <c r="J68" s="8"/>
      <c r="K68" s="8"/>
      <c r="L68" s="8"/>
      <c r="M68" s="8"/>
      <c r="N68" s="8"/>
      <c r="O68" s="8"/>
    </row>
    <row r="69" customFormat="false" ht="24.75" hidden="false" customHeight="true" outlineLevel="0" collapsed="false">
      <c r="A69" s="7"/>
      <c r="B69" s="7"/>
      <c r="C69" s="8"/>
      <c r="D69" s="16"/>
      <c r="E69" s="16"/>
      <c r="F69" s="16"/>
      <c r="G69" s="16"/>
      <c r="H69" s="16"/>
      <c r="I69" s="8"/>
      <c r="J69" s="8"/>
      <c r="K69" s="8"/>
      <c r="L69" s="8"/>
      <c r="M69" s="8"/>
      <c r="N69" s="8"/>
      <c r="O69" s="8"/>
    </row>
    <row r="70" customFormat="false" ht="24.75" hidden="false" customHeight="true" outlineLevel="0" collapsed="false">
      <c r="A70" s="7"/>
      <c r="B70" s="7"/>
      <c r="C70" s="8"/>
      <c r="D70" s="16"/>
      <c r="E70" s="16"/>
      <c r="F70" s="16"/>
      <c r="G70" s="16"/>
      <c r="H70" s="16"/>
      <c r="I70" s="8"/>
      <c r="J70" s="8"/>
      <c r="K70" s="8"/>
      <c r="L70" s="8"/>
      <c r="M70" s="8"/>
      <c r="N70" s="8"/>
      <c r="O70" s="8"/>
    </row>
    <row r="71" customFormat="false" ht="24.75" hidden="false" customHeight="true" outlineLevel="0" collapsed="false">
      <c r="A71" s="7"/>
      <c r="B71" s="7"/>
      <c r="C71" s="8"/>
      <c r="D71" s="16"/>
      <c r="E71" s="16"/>
      <c r="F71" s="16"/>
      <c r="G71" s="16"/>
      <c r="H71" s="16"/>
      <c r="I71" s="8"/>
      <c r="J71" s="8"/>
      <c r="K71" s="8"/>
      <c r="L71" s="8"/>
      <c r="M71" s="8"/>
      <c r="N71" s="8"/>
      <c r="O71" s="8"/>
    </row>
    <row r="72" customFormat="false" ht="24.75" hidden="false" customHeight="true" outlineLevel="0" collapsed="false">
      <c r="A72" s="7"/>
      <c r="B72" s="7"/>
      <c r="C72" s="8"/>
      <c r="D72" s="16"/>
      <c r="E72" s="16"/>
      <c r="F72" s="16"/>
      <c r="G72" s="16"/>
      <c r="H72" s="16"/>
      <c r="I72" s="8"/>
      <c r="J72" s="8"/>
      <c r="K72" s="8"/>
      <c r="L72" s="8"/>
      <c r="M72" s="8"/>
      <c r="N72" s="8"/>
      <c r="O72" s="8"/>
    </row>
    <row r="73" customFormat="false" ht="24.75" hidden="false" customHeight="true" outlineLevel="0" collapsed="false">
      <c r="A73" s="7"/>
      <c r="B73" s="7"/>
      <c r="C73" s="8"/>
      <c r="D73" s="16"/>
      <c r="E73" s="16"/>
      <c r="F73" s="16"/>
      <c r="G73" s="16"/>
      <c r="H73" s="16"/>
      <c r="I73" s="8"/>
      <c r="J73" s="8"/>
      <c r="K73" s="8"/>
      <c r="L73" s="8"/>
      <c r="M73" s="8"/>
      <c r="N73" s="8"/>
      <c r="O73" s="8"/>
    </row>
    <row r="74" customFormat="false" ht="24.75" hidden="false" customHeight="true" outlineLevel="0" collapsed="false">
      <c r="A74" s="7"/>
      <c r="B74" s="7"/>
      <c r="C74" s="8"/>
      <c r="D74" s="16"/>
      <c r="E74" s="16"/>
      <c r="F74" s="16"/>
      <c r="G74" s="16"/>
      <c r="H74" s="16"/>
      <c r="I74" s="8"/>
      <c r="J74" s="8"/>
      <c r="K74" s="8"/>
      <c r="L74" s="8"/>
      <c r="M74" s="8"/>
      <c r="N74" s="8"/>
      <c r="O74" s="8"/>
    </row>
    <row r="75" customFormat="false" ht="24.75" hidden="false" customHeight="true" outlineLevel="0" collapsed="false">
      <c r="A75" s="7"/>
      <c r="B75" s="7"/>
      <c r="C75" s="8"/>
      <c r="D75" s="16"/>
      <c r="E75" s="16"/>
      <c r="F75" s="16"/>
      <c r="G75" s="16"/>
      <c r="H75" s="16"/>
      <c r="I75" s="8"/>
      <c r="J75" s="8"/>
      <c r="K75" s="8"/>
      <c r="L75" s="8"/>
      <c r="M75" s="8"/>
      <c r="N75" s="8"/>
      <c r="O75" s="8"/>
    </row>
    <row r="76" customFormat="false" ht="24.75" hidden="false" customHeight="true" outlineLevel="0" collapsed="false">
      <c r="A76" s="7"/>
      <c r="B76" s="7"/>
      <c r="C76" s="8"/>
      <c r="D76" s="16"/>
      <c r="E76" s="16"/>
      <c r="F76" s="16"/>
      <c r="G76" s="16"/>
      <c r="H76" s="16"/>
      <c r="I76" s="8"/>
      <c r="J76" s="8"/>
      <c r="K76" s="8"/>
      <c r="L76" s="8"/>
      <c r="M76" s="8"/>
      <c r="N76" s="8"/>
      <c r="O76" s="8"/>
    </row>
    <row r="77" customFormat="false" ht="24.75" hidden="false" customHeight="true" outlineLevel="0" collapsed="false">
      <c r="A77" s="7"/>
      <c r="B77" s="7"/>
      <c r="C77" s="8"/>
      <c r="D77" s="16"/>
      <c r="E77" s="16"/>
      <c r="F77" s="16"/>
      <c r="G77" s="16"/>
      <c r="H77" s="16"/>
      <c r="I77" s="8"/>
      <c r="J77" s="8"/>
      <c r="K77" s="8"/>
      <c r="L77" s="8"/>
      <c r="M77" s="8"/>
      <c r="N77" s="8"/>
      <c r="O77" s="8"/>
    </row>
    <row r="78" customFormat="false" ht="24.75" hidden="false" customHeight="true" outlineLevel="0" collapsed="false">
      <c r="A78" s="7"/>
      <c r="B78" s="7"/>
      <c r="C78" s="8"/>
      <c r="D78" s="16"/>
      <c r="E78" s="16"/>
      <c r="F78" s="16"/>
      <c r="G78" s="16"/>
      <c r="H78" s="16"/>
      <c r="I78" s="8"/>
      <c r="J78" s="8"/>
      <c r="K78" s="8"/>
      <c r="L78" s="8"/>
      <c r="M78" s="8"/>
      <c r="N78" s="8"/>
      <c r="O78" s="8"/>
    </row>
    <row r="79" customFormat="false" ht="24.75" hidden="false" customHeight="true" outlineLevel="0" collapsed="false">
      <c r="A79" s="7"/>
      <c r="B79" s="7"/>
      <c r="C79" s="8"/>
      <c r="D79" s="16"/>
      <c r="E79" s="16"/>
      <c r="F79" s="16"/>
      <c r="G79" s="16"/>
      <c r="H79" s="16"/>
      <c r="I79" s="8"/>
      <c r="J79" s="8"/>
      <c r="K79" s="8"/>
      <c r="L79" s="8"/>
      <c r="M79" s="8"/>
      <c r="N79" s="8"/>
      <c r="O79" s="8"/>
    </row>
    <row r="80" customFormat="false" ht="24.75" hidden="false" customHeight="true" outlineLevel="0" collapsed="false">
      <c r="A80" s="7"/>
      <c r="B80" s="7"/>
      <c r="C80" s="8"/>
      <c r="D80" s="16"/>
      <c r="E80" s="16"/>
      <c r="F80" s="16"/>
      <c r="G80" s="16"/>
      <c r="H80" s="16"/>
      <c r="I80" s="8"/>
      <c r="J80" s="8"/>
      <c r="K80" s="8"/>
      <c r="L80" s="8"/>
      <c r="M80" s="8"/>
      <c r="N80" s="8"/>
      <c r="O80" s="8"/>
    </row>
    <row r="81" customFormat="false" ht="24.75" hidden="false" customHeight="true" outlineLevel="0" collapsed="false">
      <c r="A81" s="7"/>
      <c r="B81" s="7"/>
      <c r="C81" s="8"/>
      <c r="D81" s="16"/>
      <c r="E81" s="16"/>
      <c r="F81" s="16"/>
      <c r="G81" s="16"/>
      <c r="H81" s="16"/>
      <c r="I81" s="8"/>
      <c r="J81" s="8"/>
      <c r="K81" s="8"/>
      <c r="L81" s="8"/>
      <c r="M81" s="8"/>
      <c r="N81" s="8"/>
      <c r="O81" s="8"/>
    </row>
    <row r="82" customFormat="false" ht="24.75" hidden="false" customHeight="true" outlineLevel="0" collapsed="false">
      <c r="A82" s="7"/>
      <c r="B82" s="7"/>
      <c r="C82" s="8"/>
      <c r="D82" s="16"/>
      <c r="E82" s="16"/>
      <c r="F82" s="16"/>
      <c r="G82" s="16"/>
      <c r="H82" s="16"/>
      <c r="I82" s="8"/>
      <c r="J82" s="8"/>
      <c r="K82" s="8"/>
      <c r="L82" s="8"/>
      <c r="M82" s="8"/>
      <c r="N82" s="8"/>
      <c r="O82" s="8"/>
    </row>
    <row r="83" customFormat="false" ht="24.75" hidden="false" customHeight="true" outlineLevel="0" collapsed="false">
      <c r="A83" s="7"/>
      <c r="B83" s="7"/>
      <c r="C83" s="8"/>
      <c r="D83" s="16"/>
      <c r="E83" s="16"/>
      <c r="F83" s="16"/>
      <c r="G83" s="16"/>
      <c r="H83" s="16"/>
      <c r="I83" s="8"/>
      <c r="J83" s="8"/>
      <c r="K83" s="8"/>
      <c r="L83" s="8"/>
      <c r="M83" s="8"/>
      <c r="N83" s="8"/>
      <c r="O83" s="8"/>
    </row>
    <row r="84" customFormat="false" ht="24.75" hidden="false" customHeight="true" outlineLevel="0" collapsed="false">
      <c r="A84" s="7"/>
      <c r="B84" s="7"/>
      <c r="C84" s="8"/>
      <c r="D84" s="16"/>
      <c r="E84" s="16"/>
      <c r="F84" s="16"/>
      <c r="G84" s="16"/>
      <c r="H84" s="16"/>
      <c r="I84" s="8"/>
      <c r="J84" s="8"/>
      <c r="K84" s="8"/>
      <c r="L84" s="8"/>
      <c r="M84" s="8"/>
      <c r="N84" s="8"/>
      <c r="O84" s="8"/>
    </row>
    <row r="85" customFormat="false" ht="24.75" hidden="false" customHeight="true" outlineLevel="0" collapsed="false">
      <c r="A85" s="7"/>
      <c r="B85" s="7"/>
      <c r="C85" s="8"/>
      <c r="D85" s="16"/>
      <c r="E85" s="16"/>
      <c r="F85" s="16"/>
      <c r="G85" s="16"/>
      <c r="H85" s="16"/>
      <c r="I85" s="8"/>
      <c r="J85" s="8"/>
      <c r="K85" s="8"/>
      <c r="L85" s="8"/>
      <c r="M85" s="8"/>
      <c r="N85" s="8"/>
      <c r="O85" s="8"/>
    </row>
    <row r="86" customFormat="false" ht="24.75" hidden="false" customHeight="true" outlineLevel="0" collapsed="false">
      <c r="A86" s="7"/>
      <c r="B86" s="7"/>
      <c r="C86" s="8"/>
      <c r="D86" s="16"/>
      <c r="E86" s="16"/>
      <c r="F86" s="16"/>
      <c r="G86" s="16"/>
      <c r="H86" s="16"/>
      <c r="I86" s="8"/>
      <c r="J86" s="8"/>
      <c r="K86" s="8"/>
      <c r="L86" s="8"/>
      <c r="M86" s="8"/>
      <c r="N86" s="8"/>
      <c r="O86" s="8"/>
    </row>
    <row r="87" customFormat="false" ht="24.75" hidden="false" customHeight="true" outlineLevel="0" collapsed="false">
      <c r="A87" s="7"/>
      <c r="B87" s="7"/>
      <c r="C87" s="8"/>
      <c r="D87" s="16"/>
      <c r="E87" s="16"/>
      <c r="F87" s="16"/>
      <c r="G87" s="16"/>
      <c r="H87" s="16"/>
      <c r="I87" s="8"/>
      <c r="J87" s="8"/>
      <c r="K87" s="8"/>
      <c r="L87" s="8"/>
      <c r="M87" s="8"/>
      <c r="N87" s="8"/>
      <c r="O87" s="8"/>
    </row>
    <row r="88" customFormat="false" ht="24.75" hidden="false" customHeight="true" outlineLevel="0" collapsed="false">
      <c r="A88" s="7"/>
      <c r="B88" s="7"/>
      <c r="C88" s="8"/>
      <c r="D88" s="16"/>
      <c r="E88" s="16"/>
      <c r="F88" s="16"/>
      <c r="G88" s="16"/>
      <c r="H88" s="16"/>
      <c r="I88" s="8"/>
      <c r="J88" s="8"/>
      <c r="K88" s="8"/>
      <c r="L88" s="8"/>
      <c r="M88" s="8"/>
      <c r="N88" s="8"/>
      <c r="O88" s="8"/>
    </row>
    <row r="89" customFormat="false" ht="24.75" hidden="false" customHeight="true" outlineLevel="0" collapsed="false">
      <c r="A89" s="7"/>
      <c r="B89" s="7"/>
      <c r="C89" s="8"/>
      <c r="D89" s="16"/>
      <c r="E89" s="16"/>
      <c r="F89" s="16"/>
      <c r="G89" s="16"/>
      <c r="H89" s="16"/>
      <c r="I89" s="8"/>
      <c r="J89" s="8"/>
      <c r="K89" s="8"/>
      <c r="L89" s="8"/>
      <c r="M89" s="8"/>
      <c r="N89" s="8"/>
      <c r="O89" s="8"/>
    </row>
    <row r="90" customFormat="false" ht="24.75" hidden="false" customHeight="true" outlineLevel="0" collapsed="false">
      <c r="A90" s="7"/>
      <c r="B90" s="7"/>
      <c r="C90" s="8"/>
      <c r="D90" s="16"/>
      <c r="E90" s="16"/>
      <c r="F90" s="16"/>
      <c r="G90" s="16"/>
      <c r="H90" s="16"/>
      <c r="I90" s="8"/>
      <c r="J90" s="8"/>
      <c r="K90" s="8"/>
      <c r="L90" s="8"/>
      <c r="M90" s="8"/>
      <c r="N90" s="8"/>
      <c r="O90" s="8"/>
    </row>
    <row r="91" customFormat="false" ht="24.75" hidden="false" customHeight="true" outlineLevel="0" collapsed="false">
      <c r="A91" s="7"/>
      <c r="B91" s="7"/>
      <c r="C91" s="8"/>
      <c r="D91" s="16"/>
      <c r="E91" s="16"/>
      <c r="F91" s="16"/>
      <c r="G91" s="16"/>
      <c r="H91" s="16"/>
      <c r="I91" s="8"/>
      <c r="J91" s="8"/>
      <c r="K91" s="8"/>
      <c r="L91" s="8"/>
      <c r="M91" s="8"/>
      <c r="N91" s="8"/>
      <c r="O91" s="8"/>
    </row>
    <row r="92" customFormat="false" ht="24.75" hidden="false" customHeight="true" outlineLevel="0" collapsed="false">
      <c r="A92" s="7"/>
      <c r="B92" s="7"/>
      <c r="C92" s="8"/>
      <c r="D92" s="16"/>
      <c r="E92" s="16"/>
      <c r="F92" s="16"/>
      <c r="G92" s="16"/>
      <c r="H92" s="16"/>
      <c r="I92" s="8"/>
      <c r="J92" s="8"/>
      <c r="K92" s="8"/>
      <c r="L92" s="8"/>
      <c r="M92" s="8"/>
      <c r="N92" s="8"/>
      <c r="O92" s="8"/>
    </row>
    <row r="93" customFormat="false" ht="24.75" hidden="false" customHeight="true" outlineLevel="0" collapsed="false">
      <c r="A93" s="7"/>
      <c r="B93" s="7"/>
      <c r="C93" s="8"/>
      <c r="D93" s="16"/>
      <c r="E93" s="16"/>
      <c r="F93" s="16"/>
      <c r="G93" s="16"/>
      <c r="H93" s="16"/>
      <c r="I93" s="8"/>
      <c r="J93" s="8"/>
      <c r="K93" s="8"/>
      <c r="L93" s="8"/>
      <c r="M93" s="8"/>
      <c r="N93" s="8"/>
      <c r="O93" s="8"/>
    </row>
    <row r="94" customFormat="false" ht="24.75" hidden="false" customHeight="true" outlineLevel="0" collapsed="false">
      <c r="A94" s="7"/>
      <c r="B94" s="7"/>
      <c r="C94" s="8"/>
      <c r="D94" s="16"/>
      <c r="E94" s="16"/>
      <c r="F94" s="16"/>
      <c r="G94" s="16"/>
      <c r="H94" s="16"/>
      <c r="I94" s="8"/>
      <c r="J94" s="8"/>
      <c r="K94" s="8"/>
      <c r="L94" s="8"/>
      <c r="M94" s="8"/>
      <c r="N94" s="8"/>
      <c r="O94" s="8"/>
    </row>
    <row r="95" customFormat="false" ht="24.75" hidden="false" customHeight="true" outlineLevel="0" collapsed="false">
      <c r="A95" s="7"/>
      <c r="B95" s="7"/>
      <c r="C95" s="8"/>
      <c r="D95" s="16"/>
      <c r="E95" s="16"/>
      <c r="F95" s="16"/>
      <c r="G95" s="16"/>
      <c r="H95" s="16"/>
      <c r="I95" s="8"/>
      <c r="J95" s="8"/>
      <c r="K95" s="8"/>
      <c r="L95" s="8"/>
      <c r="M95" s="8"/>
      <c r="N95" s="8"/>
      <c r="O95" s="8"/>
    </row>
    <row r="96" customFormat="false" ht="24.75" hidden="false" customHeight="true" outlineLevel="0" collapsed="false">
      <c r="A96" s="7"/>
      <c r="B96" s="7"/>
      <c r="C96" s="8"/>
      <c r="D96" s="16"/>
      <c r="E96" s="16"/>
      <c r="F96" s="16"/>
      <c r="G96" s="16"/>
      <c r="H96" s="16"/>
      <c r="I96" s="8"/>
      <c r="J96" s="8"/>
      <c r="K96" s="8"/>
      <c r="L96" s="8"/>
      <c r="M96" s="8"/>
      <c r="N96" s="8"/>
      <c r="O96" s="8"/>
    </row>
    <row r="97" customFormat="false" ht="24.75" hidden="false" customHeight="true" outlineLevel="0" collapsed="false">
      <c r="A97" s="7"/>
      <c r="B97" s="7"/>
      <c r="C97" s="8"/>
      <c r="D97" s="16"/>
      <c r="E97" s="16"/>
      <c r="F97" s="16"/>
      <c r="G97" s="16"/>
      <c r="H97" s="16"/>
      <c r="I97" s="8"/>
      <c r="J97" s="8"/>
      <c r="K97" s="8"/>
      <c r="L97" s="8"/>
      <c r="M97" s="8"/>
      <c r="N97" s="8"/>
      <c r="O97" s="8"/>
    </row>
    <row r="98" customFormat="false" ht="24.75" hidden="false" customHeight="true" outlineLevel="0" collapsed="false">
      <c r="A98" s="7"/>
      <c r="B98" s="7"/>
      <c r="C98" s="8"/>
      <c r="D98" s="16"/>
      <c r="E98" s="16"/>
      <c r="F98" s="16"/>
      <c r="G98" s="16"/>
      <c r="H98" s="16"/>
      <c r="I98" s="8"/>
      <c r="J98" s="8"/>
      <c r="K98" s="8"/>
      <c r="L98" s="8"/>
      <c r="M98" s="8"/>
      <c r="N98" s="8"/>
      <c r="O98" s="8"/>
    </row>
    <row r="99" customFormat="false" ht="24.75" hidden="false" customHeight="true" outlineLevel="0" collapsed="false">
      <c r="A99" s="7"/>
      <c r="B99" s="7"/>
      <c r="C99" s="8"/>
      <c r="D99" s="16"/>
      <c r="E99" s="16"/>
      <c r="F99" s="16"/>
      <c r="G99" s="16"/>
      <c r="H99" s="16"/>
      <c r="I99" s="8"/>
      <c r="J99" s="8"/>
      <c r="K99" s="8"/>
      <c r="L99" s="8"/>
      <c r="M99" s="8"/>
      <c r="N99" s="8"/>
      <c r="O99" s="8"/>
    </row>
    <row r="100" customFormat="false" ht="24.75" hidden="false" customHeight="true" outlineLevel="0" collapsed="false">
      <c r="A100" s="7"/>
      <c r="B100" s="7"/>
      <c r="C100" s="8"/>
      <c r="D100" s="16"/>
      <c r="E100" s="16"/>
      <c r="F100" s="16"/>
      <c r="G100" s="16"/>
      <c r="H100" s="16"/>
      <c r="I100" s="8"/>
      <c r="J100" s="8"/>
      <c r="K100" s="8"/>
      <c r="L100" s="8"/>
      <c r="M100" s="8"/>
      <c r="N100" s="8"/>
      <c r="O100" s="8"/>
    </row>
    <row r="101" customFormat="false" ht="24.75" hidden="false" customHeight="true" outlineLevel="0" collapsed="false">
      <c r="A101" s="7"/>
      <c r="B101" s="7"/>
      <c r="C101" s="8"/>
      <c r="D101" s="16"/>
      <c r="E101" s="16"/>
      <c r="F101" s="16"/>
      <c r="G101" s="16"/>
      <c r="H101" s="16"/>
      <c r="I101" s="8"/>
      <c r="J101" s="8"/>
      <c r="K101" s="8"/>
      <c r="L101" s="8"/>
      <c r="M101" s="8"/>
      <c r="N101" s="8"/>
      <c r="O101" s="8"/>
    </row>
    <row r="102" customFormat="false" ht="24.75" hidden="false" customHeight="true" outlineLevel="0" collapsed="false">
      <c r="A102" s="7"/>
      <c r="B102" s="7"/>
      <c r="C102" s="8"/>
      <c r="D102" s="16"/>
      <c r="E102" s="16"/>
      <c r="F102" s="16"/>
      <c r="G102" s="16"/>
      <c r="H102" s="16"/>
      <c r="I102" s="8"/>
      <c r="J102" s="8"/>
      <c r="K102" s="8"/>
      <c r="L102" s="8"/>
      <c r="M102" s="8"/>
      <c r="N102" s="8"/>
      <c r="O102" s="8"/>
    </row>
    <row r="103" customFormat="false" ht="24.75" hidden="false" customHeight="true" outlineLevel="0" collapsed="false">
      <c r="A103" s="7"/>
      <c r="B103" s="7"/>
      <c r="C103" s="8"/>
      <c r="D103" s="16"/>
      <c r="E103" s="16"/>
      <c r="F103" s="16"/>
      <c r="G103" s="16"/>
      <c r="H103" s="16"/>
      <c r="I103" s="8"/>
      <c r="J103" s="8"/>
      <c r="K103" s="8"/>
      <c r="L103" s="8"/>
      <c r="M103" s="8"/>
      <c r="N103" s="8"/>
      <c r="O103" s="8"/>
    </row>
    <row r="104" customFormat="false" ht="24.75" hidden="false" customHeight="true" outlineLevel="0" collapsed="false">
      <c r="A104" s="7"/>
      <c r="B104" s="7"/>
      <c r="C104" s="8"/>
      <c r="D104" s="16"/>
      <c r="E104" s="16"/>
      <c r="F104" s="16"/>
      <c r="G104" s="16"/>
      <c r="H104" s="16"/>
      <c r="I104" s="8"/>
      <c r="J104" s="8"/>
      <c r="K104" s="8"/>
      <c r="L104" s="8"/>
      <c r="M104" s="8"/>
      <c r="N104" s="8"/>
      <c r="O104" s="8"/>
    </row>
    <row r="105" customFormat="false" ht="24.75" hidden="false" customHeight="true" outlineLevel="0" collapsed="false">
      <c r="A105" s="7"/>
      <c r="B105" s="7"/>
      <c r="C105" s="8"/>
      <c r="D105" s="16"/>
      <c r="E105" s="16"/>
      <c r="F105" s="16"/>
      <c r="G105" s="16"/>
      <c r="H105" s="16"/>
      <c r="I105" s="8"/>
      <c r="J105" s="8"/>
      <c r="K105" s="8"/>
      <c r="L105" s="8"/>
      <c r="M105" s="8"/>
      <c r="N105" s="8"/>
      <c r="O105" s="8"/>
    </row>
    <row r="106" customFormat="false" ht="24.75" hidden="false" customHeight="true" outlineLevel="0" collapsed="false">
      <c r="A106" s="7"/>
      <c r="B106" s="7"/>
      <c r="C106" s="8"/>
      <c r="D106" s="16"/>
      <c r="E106" s="16"/>
      <c r="F106" s="16"/>
      <c r="G106" s="16"/>
      <c r="H106" s="16"/>
      <c r="I106" s="8"/>
      <c r="J106" s="8"/>
      <c r="K106" s="8"/>
      <c r="L106" s="8"/>
      <c r="M106" s="8"/>
      <c r="N106" s="8"/>
      <c r="O106" s="8"/>
    </row>
    <row r="107" customFormat="false" ht="24.75" hidden="false" customHeight="true" outlineLevel="0" collapsed="false">
      <c r="A107" s="7"/>
      <c r="B107" s="7"/>
      <c r="C107" s="8"/>
      <c r="D107" s="16"/>
      <c r="E107" s="16"/>
      <c r="F107" s="16"/>
      <c r="G107" s="16"/>
      <c r="H107" s="16"/>
      <c r="I107" s="8"/>
      <c r="J107" s="8"/>
      <c r="K107" s="8"/>
      <c r="L107" s="8"/>
      <c r="M107" s="8"/>
      <c r="N107" s="8"/>
      <c r="O107" s="8"/>
    </row>
    <row r="108" customFormat="false" ht="24.75" hidden="false" customHeight="true" outlineLevel="0" collapsed="false">
      <c r="A108" s="7"/>
      <c r="B108" s="7"/>
      <c r="C108" s="8"/>
      <c r="D108" s="16"/>
      <c r="E108" s="16"/>
      <c r="F108" s="16"/>
      <c r="G108" s="16"/>
      <c r="H108" s="16"/>
      <c r="I108" s="8"/>
      <c r="J108" s="8"/>
      <c r="K108" s="8"/>
      <c r="L108" s="8"/>
      <c r="M108" s="8"/>
      <c r="N108" s="8"/>
      <c r="O108" s="8"/>
    </row>
    <row r="109" customFormat="false" ht="24.75" hidden="false" customHeight="true" outlineLevel="0" collapsed="false">
      <c r="A109" s="7"/>
      <c r="B109" s="7"/>
      <c r="C109" s="8"/>
      <c r="D109" s="16"/>
      <c r="E109" s="16"/>
      <c r="F109" s="16"/>
      <c r="G109" s="16"/>
      <c r="H109" s="16"/>
      <c r="I109" s="8"/>
      <c r="J109" s="8"/>
      <c r="K109" s="8"/>
      <c r="L109" s="8"/>
      <c r="M109" s="8"/>
      <c r="N109" s="8"/>
      <c r="O109" s="8"/>
    </row>
    <row r="110" customFormat="false" ht="24.75" hidden="false" customHeight="true" outlineLevel="0" collapsed="false">
      <c r="A110" s="7"/>
      <c r="B110" s="7"/>
      <c r="C110" s="8"/>
      <c r="D110" s="16"/>
      <c r="E110" s="16"/>
      <c r="F110" s="16"/>
      <c r="G110" s="16"/>
      <c r="H110" s="16"/>
      <c r="I110" s="8"/>
      <c r="J110" s="8"/>
      <c r="K110" s="8"/>
      <c r="L110" s="8"/>
      <c r="M110" s="8"/>
      <c r="N110" s="8"/>
      <c r="O110" s="8"/>
    </row>
    <row r="111" customFormat="false" ht="24.75" hidden="false" customHeight="true" outlineLevel="0" collapsed="false">
      <c r="A111" s="7"/>
      <c r="B111" s="7"/>
      <c r="C111" s="8"/>
      <c r="D111" s="16"/>
      <c r="E111" s="16"/>
      <c r="F111" s="16"/>
      <c r="G111" s="16"/>
      <c r="H111" s="16"/>
      <c r="I111" s="8"/>
      <c r="J111" s="8"/>
      <c r="K111" s="8"/>
      <c r="L111" s="8"/>
      <c r="M111" s="8"/>
      <c r="N111" s="8"/>
      <c r="O111" s="8"/>
    </row>
    <row r="112" customFormat="false" ht="24.75" hidden="false" customHeight="true" outlineLevel="0" collapsed="false">
      <c r="A112" s="7"/>
      <c r="B112" s="7"/>
      <c r="C112" s="8"/>
      <c r="D112" s="16"/>
      <c r="E112" s="16"/>
      <c r="F112" s="16"/>
      <c r="G112" s="16"/>
      <c r="H112" s="16"/>
      <c r="I112" s="8"/>
      <c r="J112" s="8"/>
      <c r="K112" s="8"/>
      <c r="L112" s="8"/>
      <c r="M112" s="8"/>
      <c r="N112" s="8"/>
      <c r="O112" s="8"/>
    </row>
    <row r="113" customFormat="false" ht="24.75" hidden="false" customHeight="true" outlineLevel="0" collapsed="false">
      <c r="A113" s="7"/>
      <c r="B113" s="7"/>
      <c r="C113" s="8"/>
      <c r="D113" s="16"/>
      <c r="E113" s="16"/>
      <c r="F113" s="16"/>
      <c r="G113" s="16"/>
      <c r="H113" s="16"/>
      <c r="I113" s="8"/>
      <c r="J113" s="8"/>
      <c r="K113" s="8"/>
      <c r="L113" s="8"/>
      <c r="M113" s="8"/>
      <c r="N113" s="8"/>
      <c r="O113" s="8"/>
    </row>
    <row r="114" customFormat="false" ht="24.75" hidden="false" customHeight="true" outlineLevel="0" collapsed="false">
      <c r="A114" s="7"/>
      <c r="B114" s="7"/>
      <c r="C114" s="8"/>
      <c r="D114" s="16"/>
      <c r="E114" s="16"/>
      <c r="F114" s="16"/>
      <c r="G114" s="16"/>
      <c r="H114" s="16"/>
      <c r="I114" s="8"/>
      <c r="J114" s="8"/>
      <c r="K114" s="8"/>
      <c r="L114" s="8"/>
      <c r="M114" s="8"/>
      <c r="N114" s="8"/>
      <c r="O114" s="8"/>
    </row>
    <row r="115" customFormat="false" ht="24.75" hidden="false" customHeight="true" outlineLevel="0" collapsed="false">
      <c r="A115" s="7"/>
      <c r="B115" s="7"/>
      <c r="C115" s="8"/>
      <c r="D115" s="16"/>
      <c r="E115" s="16"/>
      <c r="F115" s="16"/>
      <c r="G115" s="16"/>
      <c r="H115" s="16"/>
      <c r="I115" s="8"/>
      <c r="J115" s="8"/>
      <c r="K115" s="8"/>
      <c r="L115" s="8"/>
      <c r="M115" s="8"/>
      <c r="N115" s="8"/>
      <c r="O115" s="8"/>
    </row>
  </sheetData>
  <mergeCells count="2">
    <mergeCell ref="C2:H2"/>
    <mergeCell ref="C17:H1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1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1" width="3"/>
    <col collapsed="false" customWidth="true" hidden="false" outlineLevel="0" max="3" min="3" style="1" width="45"/>
    <col collapsed="false" customWidth="true" hidden="false" outlineLevel="0" max="8" min="4" style="1" width="18"/>
    <col collapsed="false" customWidth="true" hidden="false" outlineLevel="0" max="9" min="9" style="1" width="4"/>
    <col collapsed="false" customWidth="true" hidden="false" outlineLevel="0" max="15" min="10" style="1" width="15"/>
  </cols>
  <sheetData>
    <row r="1" customFormat="false" ht="15" hidden="false" customHeight="false" outlineLevel="0" collapsed="false">
      <c r="A1" s="7"/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customFormat="false" ht="36.75" hidden="false" customHeight="true" outlineLevel="0" collapsed="false">
      <c r="A2" s="7"/>
      <c r="B2" s="7"/>
      <c r="C2" s="9" t="s">
        <v>561</v>
      </c>
      <c r="D2" s="9"/>
      <c r="E2" s="9"/>
      <c r="F2" s="9"/>
      <c r="G2" s="9"/>
      <c r="H2" s="9"/>
      <c r="I2" s="8"/>
      <c r="J2" s="8"/>
      <c r="K2" s="8"/>
      <c r="L2" s="8"/>
      <c r="M2" s="8"/>
      <c r="N2" s="8"/>
      <c r="O2" s="8"/>
    </row>
    <row r="3" customFormat="false" ht="15" hidden="false" customHeight="false" outlineLevel="0" collapsed="false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customFormat="false" ht="24.75" hidden="false" customHeight="true" outlineLevel="0" collapsed="false">
      <c r="A4" s="7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customFormat="false" ht="30" hidden="false" customHeight="true" outlineLevel="0" collapsed="false">
      <c r="A5" s="7"/>
      <c r="B5" s="7"/>
      <c r="C5" s="12" t="s">
        <v>425</v>
      </c>
      <c r="D5" s="13" t="s">
        <v>426</v>
      </c>
      <c r="E5" s="13" t="s">
        <v>427</v>
      </c>
      <c r="F5" s="13" t="s">
        <v>428</v>
      </c>
      <c r="G5" s="16"/>
      <c r="H5" s="16"/>
      <c r="I5" s="8"/>
      <c r="J5" s="8"/>
      <c r="K5" s="8"/>
      <c r="L5" s="8"/>
      <c r="M5" s="8"/>
      <c r="N5" s="8"/>
      <c r="O5" s="8"/>
    </row>
    <row r="6" customFormat="false" ht="24.75" hidden="false" customHeight="true" outlineLevel="0" collapsed="false">
      <c r="A6" s="7"/>
      <c r="B6" s="7"/>
      <c r="C6" s="10" t="s">
        <v>562</v>
      </c>
      <c r="D6" s="14" t="n">
        <f aca="false">'W 3-Year Summary'!D10</f>
        <v>14678785.5450923</v>
      </c>
      <c r="E6" s="14" t="n">
        <f aca="false">'W 3-Year Summary'!E10</f>
        <v>25050457.1478261</v>
      </c>
      <c r="F6" s="14" t="n">
        <f aca="false">'W 3-Year Summary'!F10</f>
        <v>34469311.7872417</v>
      </c>
      <c r="G6" s="16"/>
      <c r="H6" s="16"/>
      <c r="I6" s="8"/>
      <c r="J6" s="8"/>
      <c r="K6" s="8"/>
      <c r="L6" s="8"/>
      <c r="M6" s="8"/>
      <c r="N6" s="8"/>
      <c r="O6" s="8"/>
    </row>
    <row r="7" customFormat="false" ht="24.75" hidden="false" customHeight="true" outlineLevel="0" collapsed="false">
      <c r="A7" s="7"/>
      <c r="B7" s="7"/>
      <c r="C7" s="10" t="s">
        <v>408</v>
      </c>
      <c r="D7" s="14" t="n">
        <f aca="false">'W 3-Year Summary'!D16</f>
        <v>4625055.81062123</v>
      </c>
      <c r="E7" s="14" t="n">
        <f aca="false">'W 3-Year Summary'!E16</f>
        <v>10234959.7984348</v>
      </c>
      <c r="F7" s="14" t="n">
        <f aca="false">'W 3-Year Summary'!F16</f>
        <v>15894448.2120589</v>
      </c>
      <c r="G7" s="16"/>
      <c r="H7" s="16"/>
      <c r="I7" s="8"/>
      <c r="J7" s="8"/>
      <c r="K7" s="8"/>
      <c r="L7" s="8"/>
      <c r="M7" s="8"/>
      <c r="N7" s="8"/>
      <c r="O7" s="8"/>
    </row>
    <row r="8" customFormat="false" ht="24.75" hidden="false" customHeight="true" outlineLevel="0" collapsed="false">
      <c r="A8" s="7"/>
      <c r="B8" s="7"/>
      <c r="C8" s="10" t="s">
        <v>410</v>
      </c>
      <c r="D8" s="14" t="n">
        <f aca="false">'W 3-Year Summary'!D18</f>
        <v>4065302.09838365</v>
      </c>
      <c r="E8" s="14" t="n">
        <f aca="false">'W 3-Year Summary'!E18</f>
        <v>9402639.79843478</v>
      </c>
      <c r="F8" s="14" t="n">
        <f aca="false">'W 3-Year Summary'!F18</f>
        <v>15037648.2120589</v>
      </c>
      <c r="G8" s="16"/>
      <c r="H8" s="16"/>
      <c r="I8" s="8"/>
      <c r="J8" s="8"/>
      <c r="K8" s="8"/>
      <c r="L8" s="8"/>
      <c r="M8" s="8"/>
      <c r="N8" s="8"/>
      <c r="O8" s="8"/>
    </row>
    <row r="9" customFormat="false" ht="24.75" hidden="false" customHeight="true" outlineLevel="0" collapsed="false">
      <c r="A9" s="7"/>
      <c r="B9" s="7"/>
      <c r="C9" s="10" t="s">
        <v>563</v>
      </c>
      <c r="D9" s="14" t="n">
        <f aca="false">'W 3-Year Summary'!D22</f>
        <v>139404.421872183</v>
      </c>
      <c r="E9" s="14" t="n">
        <f aca="false">'W 3-Year Summary'!E22</f>
        <v>9822820.62385484</v>
      </c>
      <c r="F9" s="14" t="n">
        <f aca="false">'W 3-Year Summary'!F22</f>
        <v>14953348.7754872</v>
      </c>
      <c r="G9" s="16"/>
      <c r="H9" s="16"/>
      <c r="I9" s="8"/>
      <c r="J9" s="8"/>
      <c r="K9" s="8"/>
      <c r="L9" s="8"/>
      <c r="M9" s="8"/>
      <c r="N9" s="8"/>
      <c r="O9" s="8"/>
    </row>
    <row r="10" customFormat="false" ht="24.75" hidden="false" customHeight="true" outlineLevel="0" collapsed="false">
      <c r="A10" s="7"/>
      <c r="B10" s="7"/>
      <c r="C10" s="10" t="s">
        <v>564</v>
      </c>
      <c r="D10" s="14" t="n">
        <f aca="false">'W TLI JV'!D14</f>
        <v>274785</v>
      </c>
      <c r="E10" s="14" t="n">
        <f aca="false">'W TLI JV'!E14</f>
        <v>1511920</v>
      </c>
      <c r="F10" s="14" t="n">
        <f aca="false">'W TLI JV'!F14</f>
        <v>3905636.4</v>
      </c>
      <c r="G10" s="16"/>
      <c r="H10" s="16"/>
      <c r="I10" s="8"/>
      <c r="J10" s="8"/>
      <c r="K10" s="8"/>
      <c r="L10" s="8"/>
      <c r="M10" s="8"/>
      <c r="N10" s="8"/>
      <c r="O10" s="8"/>
    </row>
    <row r="11" customFormat="false" ht="24.75" hidden="false" customHeight="true" outlineLevel="0" collapsed="false">
      <c r="A11" s="7"/>
      <c r="B11" s="7"/>
      <c r="C11" s="10" t="s">
        <v>565</v>
      </c>
      <c r="D11" s="14" t="n">
        <f aca="false">SUMIFS('W Site Monthly'!$AA$6:$AA$365,'W Site Monthly'!$E$6:$E$365,"S01",'W Site Monthly'!$D$6:$D$365,1)+SUMIFS('W Site Monthly'!$AA$6:$AA$365,'W Site Monthly'!$E$6:$E$365,"S02",'W Site Monthly'!$D$6:$D$365,1)</f>
        <v>2290211.97711562</v>
      </c>
      <c r="E11" s="14" t="n">
        <f aca="false">SUMIFS('W Site Monthly'!$AA$6:$AA$365,'W Site Monthly'!$E$6:$E$365,"S01",'W Site Monthly'!$D$6:$D$365,2)+SUMIFS('W Site Monthly'!$AA$6:$AA$365,'W Site Monthly'!$E$6:$E$365,"S02",'W Site Monthly'!$D$6:$D$365,2)</f>
        <v>2666336.52504348</v>
      </c>
      <c r="F11" s="14" t="n">
        <f aca="false">SUMIFS('W Site Monthly'!$AA$6:$AA$365,'W Site Monthly'!$E$6:$E$365,"S01",'W Site Monthly'!$D$6:$D$365,3)+SUMIFS('W Site Monthly'!$AA$6:$AA$365,'W Site Monthly'!$E$6:$E$365,"S02",'W Site Monthly'!$D$6:$D$365,3)</f>
        <v>2919079.99517837</v>
      </c>
      <c r="G11" s="16"/>
      <c r="H11" s="16"/>
      <c r="I11" s="8"/>
      <c r="J11" s="8"/>
      <c r="K11" s="8"/>
      <c r="L11" s="8"/>
      <c r="M11" s="8"/>
      <c r="N11" s="8"/>
      <c r="O11" s="8"/>
    </row>
    <row r="12" customFormat="false" ht="24.75" hidden="false" customHeight="true" outlineLevel="0" collapsed="false">
      <c r="A12" s="7"/>
      <c r="B12" s="7"/>
      <c r="C12" s="10" t="s">
        <v>566</v>
      </c>
      <c r="D12" s="14" t="n">
        <f aca="false">'W Financial Model'!D38</f>
        <v>4080000</v>
      </c>
      <c r="E12" s="14" t="n">
        <f aca="false">'W Financial Model'!E38</f>
        <v>81600</v>
      </c>
      <c r="F12" s="14" t="n">
        <f aca="false">'W Financial Model'!F38</f>
        <v>122400</v>
      </c>
      <c r="G12" s="16"/>
      <c r="H12" s="16"/>
      <c r="I12" s="8"/>
      <c r="J12" s="8"/>
      <c r="K12" s="8"/>
      <c r="L12" s="8"/>
      <c r="M12" s="8"/>
      <c r="N12" s="8"/>
      <c r="O12" s="8"/>
    </row>
    <row r="13" customFormat="false" ht="24.75" hidden="false" customHeight="true" outlineLevel="0" collapsed="false">
      <c r="A13" s="7"/>
      <c r="B13" s="7"/>
      <c r="C13" s="8"/>
      <c r="D13" s="16"/>
      <c r="E13" s="16"/>
      <c r="F13" s="16"/>
      <c r="G13" s="16"/>
      <c r="H13" s="16"/>
      <c r="I13" s="8"/>
      <c r="J13" s="8"/>
      <c r="K13" s="8"/>
      <c r="L13" s="8"/>
      <c r="M13" s="8"/>
      <c r="N13" s="8"/>
      <c r="O13" s="8"/>
    </row>
    <row r="14" customFormat="false" ht="24.75" hidden="false" customHeight="true" outlineLevel="0" collapsed="false">
      <c r="A14" s="7"/>
      <c r="B14" s="7"/>
      <c r="C14" s="8"/>
      <c r="D14" s="16"/>
      <c r="E14" s="16"/>
      <c r="F14" s="16"/>
      <c r="G14" s="16"/>
      <c r="H14" s="16"/>
      <c r="I14" s="8"/>
      <c r="J14" s="8"/>
      <c r="K14" s="8"/>
      <c r="L14" s="8"/>
      <c r="M14" s="8"/>
      <c r="N14" s="8"/>
      <c r="O14" s="8"/>
    </row>
    <row r="15" customFormat="false" ht="24.75" hidden="false" customHeight="true" outlineLevel="0" collapsed="false">
      <c r="A15" s="7"/>
      <c r="B15" s="7"/>
      <c r="C15" s="10" t="s">
        <v>567</v>
      </c>
      <c r="D15" s="14" t="n">
        <f aca="false">'W 3-Year Summary'!I7</f>
        <v>3165779.18597515</v>
      </c>
      <c r="E15" s="16"/>
      <c r="F15" s="16"/>
      <c r="G15" s="16"/>
      <c r="H15" s="16"/>
      <c r="I15" s="8"/>
      <c r="J15" s="8"/>
      <c r="K15" s="8"/>
      <c r="L15" s="8"/>
      <c r="M15" s="8"/>
      <c r="N15" s="8"/>
      <c r="O15" s="8"/>
    </row>
    <row r="16" customFormat="false" ht="24.75" hidden="false" customHeight="true" outlineLevel="0" collapsed="false">
      <c r="A16" s="7"/>
      <c r="B16" s="7"/>
      <c r="C16" s="10" t="s">
        <v>568</v>
      </c>
      <c r="D16" s="14" t="n">
        <f aca="false">'W 3-Year Summary'!I8</f>
        <v>1791844.59</v>
      </c>
      <c r="E16" s="16"/>
      <c r="F16" s="16"/>
      <c r="G16" s="16"/>
      <c r="H16" s="16"/>
      <c r="I16" s="8"/>
      <c r="J16" s="8"/>
      <c r="K16" s="8"/>
      <c r="L16" s="8"/>
      <c r="M16" s="8"/>
      <c r="N16" s="8"/>
      <c r="O16" s="8"/>
    </row>
    <row r="17" customFormat="false" ht="24.75" hidden="false" customHeight="true" outlineLevel="0" collapsed="false">
      <c r="A17" s="7"/>
      <c r="B17" s="7"/>
      <c r="C17" s="10" t="s">
        <v>569</v>
      </c>
      <c r="D17" s="14" t="n">
        <f aca="false">'W 3-Year Summary'!I9</f>
        <v>642600</v>
      </c>
      <c r="E17" s="16"/>
      <c r="F17" s="16"/>
      <c r="G17" s="16"/>
      <c r="H17" s="16"/>
      <c r="I17" s="8"/>
      <c r="J17" s="8"/>
      <c r="K17" s="8"/>
      <c r="L17" s="8"/>
      <c r="M17" s="8"/>
      <c r="N17" s="8"/>
      <c r="O17" s="8"/>
    </row>
    <row r="18" customFormat="false" ht="24.75" hidden="false" customHeight="true" outlineLevel="0" collapsed="false">
      <c r="A18" s="7"/>
      <c r="B18" s="7"/>
      <c r="C18" s="10" t="s">
        <v>570</v>
      </c>
      <c r="D18" s="14" t="n">
        <f aca="false">'W 3-Year Summary'!I10</f>
        <v>5600223.77597515</v>
      </c>
      <c r="E18" s="16"/>
      <c r="F18" s="16"/>
      <c r="G18" s="16"/>
      <c r="H18" s="16"/>
      <c r="I18" s="8"/>
      <c r="J18" s="8"/>
      <c r="K18" s="8"/>
      <c r="L18" s="8"/>
      <c r="M18" s="8"/>
      <c r="N18" s="8"/>
      <c r="O18" s="8"/>
    </row>
    <row r="19" customFormat="false" ht="24.75" hidden="false" customHeight="true" outlineLevel="0" collapsed="false">
      <c r="A19" s="7"/>
      <c r="B19" s="7"/>
      <c r="C19" s="8"/>
      <c r="D19" s="16"/>
      <c r="E19" s="16"/>
      <c r="F19" s="16"/>
      <c r="G19" s="16"/>
      <c r="H19" s="16"/>
      <c r="I19" s="8"/>
      <c r="J19" s="8"/>
      <c r="K19" s="8"/>
      <c r="L19" s="8"/>
      <c r="M19" s="8"/>
      <c r="N19" s="8"/>
      <c r="O19" s="8"/>
    </row>
    <row r="20" customFormat="false" ht="24.75" hidden="false" customHeight="true" outlineLevel="0" collapsed="false">
      <c r="A20" s="7"/>
      <c r="B20" s="7"/>
      <c r="C20" s="8"/>
      <c r="D20" s="16"/>
      <c r="E20" s="16"/>
      <c r="F20" s="16"/>
      <c r="G20" s="16"/>
      <c r="H20" s="16"/>
      <c r="I20" s="8"/>
      <c r="J20" s="8"/>
      <c r="K20" s="8"/>
      <c r="L20" s="8"/>
      <c r="M20" s="8"/>
      <c r="N20" s="8"/>
      <c r="O20" s="8"/>
    </row>
    <row r="21" customFormat="false" ht="39" hidden="false" customHeight="true" outlineLevel="0" collapsed="false">
      <c r="A21" s="7"/>
      <c r="B21" s="7"/>
      <c r="C21" s="23" t="s">
        <v>571</v>
      </c>
      <c r="D21" s="23"/>
      <c r="E21" s="23"/>
      <c r="F21" s="23"/>
      <c r="G21" s="23"/>
      <c r="H21" s="23"/>
      <c r="I21" s="8"/>
      <c r="J21" s="8"/>
      <c r="K21" s="8"/>
      <c r="L21" s="8"/>
      <c r="M21" s="8"/>
      <c r="N21" s="8"/>
      <c r="O21" s="8"/>
    </row>
    <row r="22" customFormat="false" ht="24.75" hidden="false" customHeight="true" outlineLevel="0" collapsed="false">
      <c r="A22" s="7"/>
      <c r="B22" s="7"/>
      <c r="C22" s="10" t="s">
        <v>572</v>
      </c>
      <c r="D22" s="16"/>
      <c r="E22" s="16"/>
      <c r="F22" s="16"/>
      <c r="G22" s="16"/>
      <c r="H22" s="16"/>
      <c r="I22" s="8"/>
      <c r="J22" s="8"/>
      <c r="K22" s="8"/>
      <c r="L22" s="8"/>
      <c r="M22" s="8"/>
      <c r="N22" s="8"/>
      <c r="O22" s="8"/>
    </row>
    <row r="23" customFormat="false" ht="39" hidden="false" customHeight="true" outlineLevel="0" collapsed="false">
      <c r="A23" s="7"/>
      <c r="B23" s="7"/>
      <c r="C23" s="23" t="s">
        <v>573</v>
      </c>
      <c r="D23" s="23"/>
      <c r="E23" s="23"/>
      <c r="F23" s="23"/>
      <c r="G23" s="23"/>
      <c r="H23" s="23"/>
      <c r="I23" s="8"/>
      <c r="J23" s="8"/>
      <c r="K23" s="8"/>
      <c r="L23" s="8"/>
      <c r="M23" s="8"/>
      <c r="N23" s="8"/>
      <c r="O23" s="8"/>
    </row>
    <row r="24" customFormat="false" ht="39" hidden="false" customHeight="true" outlineLevel="0" collapsed="false">
      <c r="A24" s="7"/>
      <c r="B24" s="7"/>
      <c r="C24" s="23" t="s">
        <v>574</v>
      </c>
      <c r="D24" s="23"/>
      <c r="E24" s="23"/>
      <c r="F24" s="23"/>
      <c r="G24" s="23"/>
      <c r="H24" s="23"/>
      <c r="I24" s="8"/>
      <c r="J24" s="8"/>
      <c r="K24" s="8"/>
      <c r="L24" s="8"/>
      <c r="M24" s="8"/>
      <c r="N24" s="8"/>
      <c r="O24" s="8"/>
    </row>
    <row r="25" customFormat="false" ht="39" hidden="false" customHeight="true" outlineLevel="0" collapsed="false">
      <c r="A25" s="7"/>
      <c r="B25" s="7"/>
      <c r="C25" s="23" t="s">
        <v>575</v>
      </c>
      <c r="D25" s="23"/>
      <c r="E25" s="23"/>
      <c r="F25" s="23"/>
      <c r="G25" s="23"/>
      <c r="H25" s="23"/>
      <c r="I25" s="8"/>
      <c r="J25" s="8"/>
      <c r="K25" s="8"/>
      <c r="L25" s="8"/>
      <c r="M25" s="8"/>
      <c r="N25" s="8"/>
      <c r="O25" s="8"/>
    </row>
    <row r="26" customFormat="false" ht="39" hidden="false" customHeight="true" outlineLevel="0" collapsed="false">
      <c r="A26" s="7"/>
      <c r="B26" s="7"/>
      <c r="C26" s="23" t="s">
        <v>576</v>
      </c>
      <c r="D26" s="23"/>
      <c r="E26" s="23"/>
      <c r="F26" s="23"/>
      <c r="G26" s="23"/>
      <c r="H26" s="23"/>
      <c r="I26" s="8"/>
      <c r="J26" s="8"/>
      <c r="K26" s="8"/>
      <c r="L26" s="8"/>
      <c r="M26" s="8"/>
      <c r="N26" s="8"/>
      <c r="O26" s="8"/>
    </row>
    <row r="27" customFormat="false" ht="39" hidden="false" customHeight="true" outlineLevel="0" collapsed="false">
      <c r="A27" s="7"/>
      <c r="B27" s="7"/>
      <c r="C27" s="23" t="s">
        <v>577</v>
      </c>
      <c r="D27" s="23"/>
      <c r="E27" s="23"/>
      <c r="F27" s="23"/>
      <c r="G27" s="23"/>
      <c r="H27" s="23"/>
      <c r="I27" s="8"/>
      <c r="J27" s="8"/>
      <c r="K27" s="8"/>
      <c r="L27" s="8"/>
      <c r="M27" s="8"/>
      <c r="N27" s="8"/>
      <c r="O27" s="8"/>
    </row>
    <row r="28" customFormat="false" ht="39" hidden="false" customHeight="true" outlineLevel="0" collapsed="false">
      <c r="A28" s="7"/>
      <c r="B28" s="7"/>
      <c r="C28" s="23" t="s">
        <v>578</v>
      </c>
      <c r="D28" s="23"/>
      <c r="E28" s="23"/>
      <c r="F28" s="23"/>
      <c r="G28" s="23"/>
      <c r="H28" s="23"/>
      <c r="I28" s="8"/>
      <c r="J28" s="8"/>
      <c r="K28" s="8"/>
      <c r="L28" s="8"/>
      <c r="M28" s="8"/>
      <c r="N28" s="8"/>
      <c r="O28" s="8"/>
    </row>
    <row r="29" customFormat="false" ht="24.75" hidden="false" customHeight="true" outlineLevel="0" collapsed="false">
      <c r="A29" s="7"/>
      <c r="B29" s="7"/>
      <c r="C29" s="8"/>
      <c r="D29" s="16"/>
      <c r="E29" s="16"/>
      <c r="F29" s="16"/>
      <c r="G29" s="16"/>
      <c r="H29" s="16"/>
      <c r="I29" s="8"/>
      <c r="J29" s="8"/>
      <c r="K29" s="8"/>
      <c r="L29" s="8"/>
      <c r="M29" s="8"/>
      <c r="N29" s="8"/>
      <c r="O29" s="8"/>
    </row>
    <row r="30" customFormat="false" ht="24.75" hidden="false" customHeight="true" outlineLevel="0" collapsed="false">
      <c r="A30" s="7"/>
      <c r="B30" s="7"/>
      <c r="C30" s="8"/>
      <c r="D30" s="16"/>
      <c r="E30" s="16"/>
      <c r="F30" s="16"/>
      <c r="G30" s="16"/>
      <c r="H30" s="16"/>
      <c r="I30" s="8"/>
      <c r="J30" s="8"/>
      <c r="K30" s="8"/>
      <c r="L30" s="8"/>
      <c r="M30" s="8"/>
      <c r="N30" s="8"/>
      <c r="O30" s="8"/>
    </row>
    <row r="31" customFormat="false" ht="24.75" hidden="false" customHeight="true" outlineLevel="0" collapsed="false">
      <c r="A31" s="7"/>
      <c r="B31" s="7"/>
      <c r="C31" s="8"/>
      <c r="D31" s="16"/>
      <c r="E31" s="16"/>
      <c r="F31" s="16"/>
      <c r="G31" s="16"/>
      <c r="H31" s="16"/>
      <c r="I31" s="8"/>
      <c r="J31" s="8"/>
      <c r="K31" s="8"/>
      <c r="L31" s="8"/>
      <c r="M31" s="8"/>
      <c r="N31" s="8"/>
      <c r="O31" s="8"/>
    </row>
    <row r="32" customFormat="false" ht="24.75" hidden="false" customHeight="true" outlineLevel="0" collapsed="false">
      <c r="A32" s="7"/>
      <c r="B32" s="7"/>
      <c r="C32" s="8"/>
      <c r="D32" s="16"/>
      <c r="E32" s="16"/>
      <c r="F32" s="16"/>
      <c r="G32" s="16"/>
      <c r="H32" s="16"/>
      <c r="I32" s="8"/>
      <c r="J32" s="8"/>
      <c r="K32" s="8"/>
      <c r="L32" s="8"/>
      <c r="M32" s="8"/>
      <c r="N32" s="8"/>
      <c r="O32" s="8"/>
    </row>
    <row r="33" customFormat="false" ht="24.75" hidden="false" customHeight="true" outlineLevel="0" collapsed="false">
      <c r="A33" s="7"/>
      <c r="B33" s="7"/>
      <c r="C33" s="8"/>
      <c r="D33" s="16"/>
      <c r="E33" s="16"/>
      <c r="F33" s="16"/>
      <c r="G33" s="16"/>
      <c r="H33" s="16"/>
      <c r="I33" s="8"/>
      <c r="J33" s="8"/>
      <c r="K33" s="8"/>
      <c r="L33" s="8"/>
      <c r="M33" s="8"/>
      <c r="N33" s="8"/>
      <c r="O33" s="8"/>
    </row>
    <row r="34" customFormat="false" ht="24.75" hidden="false" customHeight="true" outlineLevel="0" collapsed="false">
      <c r="A34" s="7"/>
      <c r="B34" s="7"/>
      <c r="C34" s="8"/>
      <c r="D34" s="16"/>
      <c r="E34" s="16"/>
      <c r="F34" s="16"/>
      <c r="G34" s="16"/>
      <c r="H34" s="16"/>
      <c r="I34" s="8"/>
      <c r="J34" s="8"/>
      <c r="K34" s="8"/>
      <c r="L34" s="8"/>
      <c r="M34" s="8"/>
      <c r="N34" s="8"/>
      <c r="O34" s="8"/>
    </row>
    <row r="35" customFormat="false" ht="24.75" hidden="false" customHeight="true" outlineLevel="0" collapsed="false">
      <c r="A35" s="7"/>
      <c r="B35" s="7"/>
      <c r="C35" s="8"/>
      <c r="D35" s="16"/>
      <c r="E35" s="16"/>
      <c r="F35" s="16"/>
      <c r="G35" s="16"/>
      <c r="H35" s="16"/>
      <c r="I35" s="8"/>
      <c r="J35" s="8"/>
      <c r="K35" s="8"/>
      <c r="L35" s="8"/>
      <c r="M35" s="8"/>
      <c r="N35" s="8"/>
      <c r="O35" s="8"/>
    </row>
    <row r="36" customFormat="false" ht="24.75" hidden="false" customHeight="true" outlineLevel="0" collapsed="false">
      <c r="A36" s="7"/>
      <c r="B36" s="7"/>
      <c r="C36" s="8"/>
      <c r="D36" s="16"/>
      <c r="E36" s="16"/>
      <c r="F36" s="16"/>
      <c r="G36" s="16"/>
      <c r="H36" s="16"/>
      <c r="I36" s="8"/>
      <c r="J36" s="8"/>
      <c r="K36" s="8"/>
      <c r="L36" s="8"/>
      <c r="M36" s="8"/>
      <c r="N36" s="8"/>
      <c r="O36" s="8"/>
    </row>
    <row r="37" customFormat="false" ht="24.75" hidden="false" customHeight="true" outlineLevel="0" collapsed="false">
      <c r="A37" s="7"/>
      <c r="B37" s="7"/>
      <c r="C37" s="8"/>
      <c r="D37" s="16"/>
      <c r="E37" s="16"/>
      <c r="F37" s="16"/>
      <c r="G37" s="16"/>
      <c r="H37" s="16"/>
      <c r="I37" s="8"/>
      <c r="J37" s="8"/>
      <c r="K37" s="8"/>
      <c r="L37" s="8"/>
      <c r="M37" s="8"/>
      <c r="N37" s="8"/>
      <c r="O37" s="8"/>
    </row>
    <row r="38" customFormat="false" ht="24.75" hidden="false" customHeight="true" outlineLevel="0" collapsed="false">
      <c r="A38" s="7"/>
      <c r="B38" s="7"/>
      <c r="C38" s="8"/>
      <c r="D38" s="16"/>
      <c r="E38" s="16"/>
      <c r="F38" s="16"/>
      <c r="G38" s="16"/>
      <c r="H38" s="16"/>
      <c r="I38" s="8"/>
      <c r="J38" s="8"/>
      <c r="K38" s="8"/>
      <c r="L38" s="8"/>
      <c r="M38" s="8"/>
      <c r="N38" s="8"/>
      <c r="O38" s="8"/>
    </row>
    <row r="39" customFormat="false" ht="24.75" hidden="false" customHeight="true" outlineLevel="0" collapsed="false">
      <c r="A39" s="7"/>
      <c r="B39" s="7"/>
      <c r="C39" s="8"/>
      <c r="D39" s="16"/>
      <c r="E39" s="16"/>
      <c r="F39" s="16"/>
      <c r="G39" s="16"/>
      <c r="H39" s="16"/>
      <c r="I39" s="8"/>
      <c r="J39" s="8"/>
      <c r="K39" s="8"/>
      <c r="L39" s="8"/>
      <c r="M39" s="8"/>
      <c r="N39" s="8"/>
      <c r="O39" s="8"/>
    </row>
    <row r="40" customFormat="false" ht="24.75" hidden="false" customHeight="true" outlineLevel="0" collapsed="false">
      <c r="A40" s="7"/>
      <c r="B40" s="7"/>
      <c r="C40" s="8"/>
      <c r="D40" s="16"/>
      <c r="E40" s="16"/>
      <c r="F40" s="16"/>
      <c r="G40" s="16"/>
      <c r="H40" s="16"/>
      <c r="I40" s="8"/>
      <c r="J40" s="8"/>
      <c r="K40" s="8"/>
      <c r="L40" s="8"/>
      <c r="M40" s="8"/>
      <c r="N40" s="8"/>
      <c r="O40" s="8"/>
    </row>
    <row r="41" customFormat="false" ht="24.75" hidden="false" customHeight="true" outlineLevel="0" collapsed="false">
      <c r="A41" s="7"/>
      <c r="B41" s="7"/>
      <c r="C41" s="8"/>
      <c r="D41" s="16"/>
      <c r="E41" s="16"/>
      <c r="F41" s="16"/>
      <c r="G41" s="16"/>
      <c r="H41" s="16"/>
      <c r="I41" s="8"/>
      <c r="J41" s="8"/>
      <c r="K41" s="8"/>
      <c r="L41" s="8"/>
      <c r="M41" s="8"/>
      <c r="N41" s="8"/>
      <c r="O41" s="8"/>
    </row>
    <row r="42" customFormat="false" ht="24.75" hidden="false" customHeight="true" outlineLevel="0" collapsed="false">
      <c r="A42" s="7"/>
      <c r="B42" s="7"/>
      <c r="C42" s="8"/>
      <c r="D42" s="16"/>
      <c r="E42" s="16"/>
      <c r="F42" s="16"/>
      <c r="G42" s="16"/>
      <c r="H42" s="16"/>
      <c r="I42" s="8"/>
      <c r="J42" s="8"/>
      <c r="K42" s="8"/>
      <c r="L42" s="8"/>
      <c r="M42" s="8"/>
      <c r="N42" s="8"/>
      <c r="O42" s="8"/>
    </row>
    <row r="43" customFormat="false" ht="24.75" hidden="false" customHeight="true" outlineLevel="0" collapsed="false">
      <c r="A43" s="7"/>
      <c r="B43" s="7"/>
      <c r="C43" s="8"/>
      <c r="D43" s="16"/>
      <c r="E43" s="16"/>
      <c r="F43" s="16"/>
      <c r="G43" s="16"/>
      <c r="H43" s="16"/>
      <c r="I43" s="8"/>
      <c r="J43" s="8"/>
      <c r="K43" s="8"/>
      <c r="L43" s="8"/>
      <c r="M43" s="8"/>
      <c r="N43" s="8"/>
      <c r="O43" s="8"/>
    </row>
    <row r="44" customFormat="false" ht="24.75" hidden="false" customHeight="true" outlineLevel="0" collapsed="false">
      <c r="A44" s="7"/>
      <c r="B44" s="7"/>
      <c r="C44" s="8"/>
      <c r="D44" s="16"/>
      <c r="E44" s="16"/>
      <c r="F44" s="16"/>
      <c r="G44" s="16"/>
      <c r="H44" s="16"/>
      <c r="I44" s="8"/>
      <c r="J44" s="8"/>
      <c r="K44" s="8"/>
      <c r="L44" s="8"/>
      <c r="M44" s="8"/>
      <c r="N44" s="8"/>
      <c r="O44" s="8"/>
    </row>
    <row r="45" customFormat="false" ht="24.75" hidden="false" customHeight="true" outlineLevel="0" collapsed="false">
      <c r="A45" s="7"/>
      <c r="B45" s="7"/>
      <c r="C45" s="8"/>
      <c r="D45" s="16"/>
      <c r="E45" s="16"/>
      <c r="F45" s="16"/>
      <c r="G45" s="16"/>
      <c r="H45" s="16"/>
      <c r="I45" s="8"/>
      <c r="J45" s="8"/>
      <c r="K45" s="8"/>
      <c r="L45" s="8"/>
      <c r="M45" s="8"/>
      <c r="N45" s="8"/>
      <c r="O45" s="8"/>
    </row>
    <row r="46" customFormat="false" ht="24.75" hidden="false" customHeight="true" outlineLevel="0" collapsed="false">
      <c r="A46" s="7"/>
      <c r="B46" s="7"/>
      <c r="C46" s="8"/>
      <c r="D46" s="16"/>
      <c r="E46" s="16"/>
      <c r="F46" s="16"/>
      <c r="G46" s="16"/>
      <c r="H46" s="16"/>
      <c r="I46" s="8"/>
      <c r="J46" s="8"/>
      <c r="K46" s="8"/>
      <c r="L46" s="8"/>
      <c r="M46" s="8"/>
      <c r="N46" s="8"/>
      <c r="O46" s="8"/>
    </row>
    <row r="47" customFormat="false" ht="24.75" hidden="false" customHeight="true" outlineLevel="0" collapsed="false">
      <c r="A47" s="7"/>
      <c r="B47" s="7"/>
      <c r="C47" s="8"/>
      <c r="D47" s="16"/>
      <c r="E47" s="16"/>
      <c r="F47" s="16"/>
      <c r="G47" s="16"/>
      <c r="H47" s="16"/>
      <c r="I47" s="8"/>
      <c r="J47" s="8"/>
      <c r="K47" s="8"/>
      <c r="L47" s="8"/>
      <c r="M47" s="8"/>
      <c r="N47" s="8"/>
      <c r="O47" s="8"/>
    </row>
    <row r="48" customFormat="false" ht="24.75" hidden="false" customHeight="true" outlineLevel="0" collapsed="false">
      <c r="A48" s="7"/>
      <c r="B48" s="7"/>
      <c r="C48" s="8"/>
      <c r="D48" s="16"/>
      <c r="E48" s="16"/>
      <c r="F48" s="16"/>
      <c r="G48" s="16"/>
      <c r="H48" s="16"/>
      <c r="I48" s="8"/>
      <c r="J48" s="8"/>
      <c r="K48" s="8"/>
      <c r="L48" s="8"/>
      <c r="M48" s="8"/>
      <c r="N48" s="8"/>
      <c r="O48" s="8"/>
    </row>
    <row r="49" customFormat="false" ht="24.75" hidden="false" customHeight="true" outlineLevel="0" collapsed="false">
      <c r="A49" s="7"/>
      <c r="B49" s="7"/>
      <c r="C49" s="8"/>
      <c r="D49" s="16"/>
      <c r="E49" s="16"/>
      <c r="F49" s="16"/>
      <c r="G49" s="16"/>
      <c r="H49" s="16"/>
      <c r="I49" s="8"/>
      <c r="J49" s="8"/>
      <c r="K49" s="8"/>
      <c r="L49" s="8"/>
      <c r="M49" s="8"/>
      <c r="N49" s="8"/>
      <c r="O49" s="8"/>
    </row>
    <row r="50" customFormat="false" ht="24.75" hidden="false" customHeight="true" outlineLevel="0" collapsed="false">
      <c r="A50" s="7"/>
      <c r="B50" s="7"/>
      <c r="C50" s="8"/>
      <c r="D50" s="16"/>
      <c r="E50" s="16"/>
      <c r="F50" s="16"/>
      <c r="G50" s="16"/>
      <c r="H50" s="16"/>
      <c r="I50" s="8"/>
      <c r="J50" s="8"/>
      <c r="K50" s="8"/>
      <c r="L50" s="8"/>
      <c r="M50" s="8"/>
      <c r="N50" s="8"/>
      <c r="O50" s="8"/>
    </row>
    <row r="51" customFormat="false" ht="24.75" hidden="false" customHeight="true" outlineLevel="0" collapsed="false">
      <c r="A51" s="7"/>
      <c r="B51" s="7"/>
      <c r="C51" s="8"/>
      <c r="D51" s="16"/>
      <c r="E51" s="16"/>
      <c r="F51" s="16"/>
      <c r="G51" s="16"/>
      <c r="H51" s="16"/>
      <c r="I51" s="8"/>
      <c r="J51" s="8"/>
      <c r="K51" s="8"/>
      <c r="L51" s="8"/>
      <c r="M51" s="8"/>
      <c r="N51" s="8"/>
      <c r="O51" s="8"/>
    </row>
    <row r="52" customFormat="false" ht="24.75" hidden="false" customHeight="true" outlineLevel="0" collapsed="false">
      <c r="A52" s="7"/>
      <c r="B52" s="7"/>
      <c r="C52" s="8"/>
      <c r="D52" s="16"/>
      <c r="E52" s="16"/>
      <c r="F52" s="16"/>
      <c r="G52" s="16"/>
      <c r="H52" s="16"/>
      <c r="I52" s="8"/>
      <c r="J52" s="8"/>
      <c r="K52" s="8"/>
      <c r="L52" s="8"/>
      <c r="M52" s="8"/>
      <c r="N52" s="8"/>
      <c r="O52" s="8"/>
    </row>
    <row r="53" customFormat="false" ht="24.75" hidden="false" customHeight="true" outlineLevel="0" collapsed="false">
      <c r="A53" s="7"/>
      <c r="B53" s="7"/>
      <c r="C53" s="8"/>
      <c r="D53" s="16"/>
      <c r="E53" s="16"/>
      <c r="F53" s="16"/>
      <c r="G53" s="16"/>
      <c r="H53" s="16"/>
      <c r="I53" s="8"/>
      <c r="J53" s="8"/>
      <c r="K53" s="8"/>
      <c r="L53" s="8"/>
      <c r="M53" s="8"/>
      <c r="N53" s="8"/>
      <c r="O53" s="8"/>
    </row>
    <row r="54" customFormat="false" ht="24.75" hidden="false" customHeight="true" outlineLevel="0" collapsed="false">
      <c r="A54" s="7"/>
      <c r="B54" s="7"/>
      <c r="C54" s="8"/>
      <c r="D54" s="16"/>
      <c r="E54" s="16"/>
      <c r="F54" s="16"/>
      <c r="G54" s="16"/>
      <c r="H54" s="16"/>
      <c r="I54" s="8"/>
      <c r="J54" s="8"/>
      <c r="K54" s="8"/>
      <c r="L54" s="8"/>
      <c r="M54" s="8"/>
      <c r="N54" s="8"/>
      <c r="O54" s="8"/>
    </row>
    <row r="55" customFormat="false" ht="24.75" hidden="false" customHeight="true" outlineLevel="0" collapsed="false">
      <c r="A55" s="7"/>
      <c r="B55" s="7"/>
      <c r="C55" s="8"/>
      <c r="D55" s="16"/>
      <c r="E55" s="16"/>
      <c r="F55" s="16"/>
      <c r="G55" s="16"/>
      <c r="H55" s="16"/>
      <c r="I55" s="8"/>
      <c r="J55" s="8"/>
      <c r="K55" s="8"/>
      <c r="L55" s="8"/>
      <c r="M55" s="8"/>
      <c r="N55" s="8"/>
      <c r="O55" s="8"/>
    </row>
    <row r="56" customFormat="false" ht="24.75" hidden="false" customHeight="true" outlineLevel="0" collapsed="false">
      <c r="A56" s="7"/>
      <c r="B56" s="7"/>
      <c r="C56" s="8"/>
      <c r="D56" s="16"/>
      <c r="E56" s="16"/>
      <c r="F56" s="16"/>
      <c r="G56" s="16"/>
      <c r="H56" s="16"/>
      <c r="I56" s="8"/>
      <c r="J56" s="8"/>
      <c r="K56" s="8"/>
      <c r="L56" s="8"/>
      <c r="M56" s="8"/>
      <c r="N56" s="8"/>
      <c r="O56" s="8"/>
    </row>
    <row r="57" customFormat="false" ht="24.75" hidden="false" customHeight="true" outlineLevel="0" collapsed="false">
      <c r="A57" s="7"/>
      <c r="B57" s="7"/>
      <c r="C57" s="8"/>
      <c r="D57" s="16"/>
      <c r="E57" s="16"/>
      <c r="F57" s="16"/>
      <c r="G57" s="16"/>
      <c r="H57" s="16"/>
      <c r="I57" s="8"/>
      <c r="J57" s="8"/>
      <c r="K57" s="8"/>
      <c r="L57" s="8"/>
      <c r="M57" s="8"/>
      <c r="N57" s="8"/>
      <c r="O57" s="8"/>
    </row>
    <row r="58" customFormat="false" ht="24.75" hidden="false" customHeight="true" outlineLevel="0" collapsed="false">
      <c r="A58" s="7"/>
      <c r="B58" s="7"/>
      <c r="C58" s="8"/>
      <c r="D58" s="16"/>
      <c r="E58" s="16"/>
      <c r="F58" s="16"/>
      <c r="G58" s="16"/>
      <c r="H58" s="16"/>
      <c r="I58" s="8"/>
      <c r="J58" s="8"/>
      <c r="K58" s="8"/>
      <c r="L58" s="8"/>
      <c r="M58" s="8"/>
      <c r="N58" s="8"/>
      <c r="O58" s="8"/>
    </row>
    <row r="59" customFormat="false" ht="24.75" hidden="false" customHeight="true" outlineLevel="0" collapsed="false">
      <c r="A59" s="7"/>
      <c r="B59" s="7"/>
      <c r="C59" s="8"/>
      <c r="D59" s="16"/>
      <c r="E59" s="16"/>
      <c r="F59" s="16"/>
      <c r="G59" s="16"/>
      <c r="H59" s="16"/>
      <c r="I59" s="8"/>
      <c r="J59" s="8"/>
      <c r="K59" s="8"/>
      <c r="L59" s="8"/>
      <c r="M59" s="8"/>
      <c r="N59" s="8"/>
      <c r="O59" s="8"/>
    </row>
    <row r="60" customFormat="false" ht="24.75" hidden="false" customHeight="true" outlineLevel="0" collapsed="false">
      <c r="A60" s="7"/>
      <c r="B60" s="7"/>
      <c r="C60" s="8"/>
      <c r="D60" s="16"/>
      <c r="E60" s="16"/>
      <c r="F60" s="16"/>
      <c r="G60" s="16"/>
      <c r="H60" s="16"/>
      <c r="I60" s="8"/>
      <c r="J60" s="8"/>
      <c r="K60" s="8"/>
      <c r="L60" s="8"/>
      <c r="M60" s="8"/>
      <c r="N60" s="8"/>
      <c r="O60" s="8"/>
    </row>
    <row r="61" customFormat="false" ht="24.75" hidden="false" customHeight="true" outlineLevel="0" collapsed="false">
      <c r="A61" s="7"/>
      <c r="B61" s="7"/>
      <c r="C61" s="8"/>
      <c r="D61" s="16"/>
      <c r="E61" s="16"/>
      <c r="F61" s="16"/>
      <c r="G61" s="16"/>
      <c r="H61" s="16"/>
      <c r="I61" s="8"/>
      <c r="J61" s="8"/>
      <c r="K61" s="8"/>
      <c r="L61" s="8"/>
      <c r="M61" s="8"/>
      <c r="N61" s="8"/>
      <c r="O61" s="8"/>
    </row>
    <row r="62" customFormat="false" ht="24.75" hidden="false" customHeight="true" outlineLevel="0" collapsed="false">
      <c r="A62" s="7"/>
      <c r="B62" s="7"/>
      <c r="C62" s="8"/>
      <c r="D62" s="16"/>
      <c r="E62" s="16"/>
      <c r="F62" s="16"/>
      <c r="G62" s="16"/>
      <c r="H62" s="16"/>
      <c r="I62" s="8"/>
      <c r="J62" s="8"/>
      <c r="K62" s="8"/>
      <c r="L62" s="8"/>
      <c r="M62" s="8"/>
      <c r="N62" s="8"/>
      <c r="O62" s="8"/>
    </row>
    <row r="63" customFormat="false" ht="24.75" hidden="false" customHeight="true" outlineLevel="0" collapsed="false">
      <c r="A63" s="7"/>
      <c r="B63" s="7"/>
      <c r="C63" s="8"/>
      <c r="D63" s="16"/>
      <c r="E63" s="16"/>
      <c r="F63" s="16"/>
      <c r="G63" s="16"/>
      <c r="H63" s="16"/>
      <c r="I63" s="8"/>
      <c r="J63" s="8"/>
      <c r="K63" s="8"/>
      <c r="L63" s="8"/>
      <c r="M63" s="8"/>
      <c r="N63" s="8"/>
      <c r="O63" s="8"/>
    </row>
    <row r="64" customFormat="false" ht="24.75" hidden="false" customHeight="true" outlineLevel="0" collapsed="false">
      <c r="A64" s="7"/>
      <c r="B64" s="7"/>
      <c r="C64" s="8"/>
      <c r="D64" s="16"/>
      <c r="E64" s="16"/>
      <c r="F64" s="16"/>
      <c r="G64" s="16"/>
      <c r="H64" s="16"/>
      <c r="I64" s="8"/>
      <c r="J64" s="8"/>
      <c r="K64" s="8"/>
      <c r="L64" s="8"/>
      <c r="M64" s="8"/>
      <c r="N64" s="8"/>
      <c r="O64" s="8"/>
    </row>
    <row r="65" customFormat="false" ht="24.75" hidden="false" customHeight="true" outlineLevel="0" collapsed="false">
      <c r="A65" s="7"/>
      <c r="B65" s="7"/>
      <c r="C65" s="8"/>
      <c r="D65" s="16"/>
      <c r="E65" s="16"/>
      <c r="F65" s="16"/>
      <c r="G65" s="16"/>
      <c r="H65" s="16"/>
      <c r="I65" s="8"/>
      <c r="J65" s="8"/>
      <c r="K65" s="8"/>
      <c r="L65" s="8"/>
      <c r="M65" s="8"/>
      <c r="N65" s="8"/>
      <c r="O65" s="8"/>
    </row>
    <row r="66" customFormat="false" ht="24.75" hidden="false" customHeight="true" outlineLevel="0" collapsed="false">
      <c r="A66" s="7"/>
      <c r="B66" s="7"/>
      <c r="C66" s="8"/>
      <c r="D66" s="16"/>
      <c r="E66" s="16"/>
      <c r="F66" s="16"/>
      <c r="G66" s="16"/>
      <c r="H66" s="16"/>
      <c r="I66" s="8"/>
      <c r="J66" s="8"/>
      <c r="K66" s="8"/>
      <c r="L66" s="8"/>
      <c r="M66" s="8"/>
      <c r="N66" s="8"/>
      <c r="O66" s="8"/>
    </row>
    <row r="67" customFormat="false" ht="24.75" hidden="false" customHeight="true" outlineLevel="0" collapsed="false">
      <c r="A67" s="7"/>
      <c r="B67" s="7"/>
      <c r="C67" s="8"/>
      <c r="D67" s="16"/>
      <c r="E67" s="16"/>
      <c r="F67" s="16"/>
      <c r="G67" s="16"/>
      <c r="H67" s="16"/>
      <c r="I67" s="8"/>
      <c r="J67" s="8"/>
      <c r="K67" s="8"/>
      <c r="L67" s="8"/>
      <c r="M67" s="8"/>
      <c r="N67" s="8"/>
      <c r="O67" s="8"/>
    </row>
    <row r="68" customFormat="false" ht="24.75" hidden="false" customHeight="true" outlineLevel="0" collapsed="false">
      <c r="A68" s="7"/>
      <c r="B68" s="7"/>
      <c r="C68" s="8"/>
      <c r="D68" s="16"/>
      <c r="E68" s="16"/>
      <c r="F68" s="16"/>
      <c r="G68" s="16"/>
      <c r="H68" s="16"/>
      <c r="I68" s="8"/>
      <c r="J68" s="8"/>
      <c r="K68" s="8"/>
      <c r="L68" s="8"/>
      <c r="M68" s="8"/>
      <c r="N68" s="8"/>
      <c r="O68" s="8"/>
    </row>
    <row r="69" customFormat="false" ht="24.75" hidden="false" customHeight="true" outlineLevel="0" collapsed="false">
      <c r="A69" s="7"/>
      <c r="B69" s="7"/>
      <c r="C69" s="8"/>
      <c r="D69" s="16"/>
      <c r="E69" s="16"/>
      <c r="F69" s="16"/>
      <c r="G69" s="16"/>
      <c r="H69" s="16"/>
      <c r="I69" s="8"/>
      <c r="J69" s="8"/>
      <c r="K69" s="8"/>
      <c r="L69" s="8"/>
      <c r="M69" s="8"/>
      <c r="N69" s="8"/>
      <c r="O69" s="8"/>
    </row>
    <row r="70" customFormat="false" ht="24.75" hidden="false" customHeight="true" outlineLevel="0" collapsed="false">
      <c r="A70" s="7"/>
      <c r="B70" s="7"/>
      <c r="C70" s="8"/>
      <c r="D70" s="16"/>
      <c r="E70" s="16"/>
      <c r="F70" s="16"/>
      <c r="G70" s="16"/>
      <c r="H70" s="16"/>
      <c r="I70" s="8"/>
      <c r="J70" s="8"/>
      <c r="K70" s="8"/>
      <c r="L70" s="8"/>
      <c r="M70" s="8"/>
      <c r="N70" s="8"/>
      <c r="O70" s="8"/>
    </row>
    <row r="71" customFormat="false" ht="24.75" hidden="false" customHeight="true" outlineLevel="0" collapsed="false">
      <c r="A71" s="7"/>
      <c r="B71" s="7"/>
      <c r="C71" s="8"/>
      <c r="D71" s="16"/>
      <c r="E71" s="16"/>
      <c r="F71" s="16"/>
      <c r="G71" s="16"/>
      <c r="H71" s="16"/>
      <c r="I71" s="8"/>
      <c r="J71" s="8"/>
      <c r="K71" s="8"/>
      <c r="L71" s="8"/>
      <c r="M71" s="8"/>
      <c r="N71" s="8"/>
      <c r="O71" s="8"/>
    </row>
    <row r="72" customFormat="false" ht="24.75" hidden="false" customHeight="true" outlineLevel="0" collapsed="false">
      <c r="A72" s="7"/>
      <c r="B72" s="7"/>
      <c r="C72" s="8"/>
      <c r="D72" s="16"/>
      <c r="E72" s="16"/>
      <c r="F72" s="16"/>
      <c r="G72" s="16"/>
      <c r="H72" s="16"/>
      <c r="I72" s="8"/>
      <c r="J72" s="8"/>
      <c r="K72" s="8"/>
      <c r="L72" s="8"/>
      <c r="M72" s="8"/>
      <c r="N72" s="8"/>
      <c r="O72" s="8"/>
    </row>
    <row r="73" customFormat="false" ht="24.75" hidden="false" customHeight="true" outlineLevel="0" collapsed="false">
      <c r="A73" s="7"/>
      <c r="B73" s="7"/>
      <c r="C73" s="8"/>
      <c r="D73" s="16"/>
      <c r="E73" s="16"/>
      <c r="F73" s="16"/>
      <c r="G73" s="16"/>
      <c r="H73" s="16"/>
      <c r="I73" s="8"/>
      <c r="J73" s="8"/>
      <c r="K73" s="8"/>
      <c r="L73" s="8"/>
      <c r="M73" s="8"/>
      <c r="N73" s="8"/>
      <c r="O73" s="8"/>
    </row>
    <row r="74" customFormat="false" ht="24.75" hidden="false" customHeight="true" outlineLevel="0" collapsed="false">
      <c r="A74" s="7"/>
      <c r="B74" s="7"/>
      <c r="C74" s="8"/>
      <c r="D74" s="16"/>
      <c r="E74" s="16"/>
      <c r="F74" s="16"/>
      <c r="G74" s="16"/>
      <c r="H74" s="16"/>
      <c r="I74" s="8"/>
      <c r="J74" s="8"/>
      <c r="K74" s="8"/>
      <c r="L74" s="8"/>
      <c r="M74" s="8"/>
      <c r="N74" s="8"/>
      <c r="O74" s="8"/>
    </row>
    <row r="75" customFormat="false" ht="24.75" hidden="false" customHeight="true" outlineLevel="0" collapsed="false">
      <c r="A75" s="7"/>
      <c r="B75" s="7"/>
      <c r="C75" s="8"/>
      <c r="D75" s="16"/>
      <c r="E75" s="16"/>
      <c r="F75" s="16"/>
      <c r="G75" s="16"/>
      <c r="H75" s="16"/>
      <c r="I75" s="8"/>
      <c r="J75" s="8"/>
      <c r="K75" s="8"/>
      <c r="L75" s="8"/>
      <c r="M75" s="8"/>
      <c r="N75" s="8"/>
      <c r="O75" s="8"/>
    </row>
    <row r="76" customFormat="false" ht="24.75" hidden="false" customHeight="true" outlineLevel="0" collapsed="false">
      <c r="A76" s="7"/>
      <c r="B76" s="7"/>
      <c r="C76" s="8"/>
      <c r="D76" s="16"/>
      <c r="E76" s="16"/>
      <c r="F76" s="16"/>
      <c r="G76" s="16"/>
      <c r="H76" s="16"/>
      <c r="I76" s="8"/>
      <c r="J76" s="8"/>
      <c r="K76" s="8"/>
      <c r="L76" s="8"/>
      <c r="M76" s="8"/>
      <c r="N76" s="8"/>
      <c r="O76" s="8"/>
    </row>
    <row r="77" customFormat="false" ht="24.75" hidden="false" customHeight="true" outlineLevel="0" collapsed="false">
      <c r="A77" s="7"/>
      <c r="B77" s="7"/>
      <c r="C77" s="8"/>
      <c r="D77" s="16"/>
      <c r="E77" s="16"/>
      <c r="F77" s="16"/>
      <c r="G77" s="16"/>
      <c r="H77" s="16"/>
      <c r="I77" s="8"/>
      <c r="J77" s="8"/>
      <c r="K77" s="8"/>
      <c r="L77" s="8"/>
      <c r="M77" s="8"/>
      <c r="N77" s="8"/>
      <c r="O77" s="8"/>
    </row>
    <row r="78" customFormat="false" ht="24.75" hidden="false" customHeight="true" outlineLevel="0" collapsed="false">
      <c r="A78" s="7"/>
      <c r="B78" s="7"/>
      <c r="C78" s="8"/>
      <c r="D78" s="16"/>
      <c r="E78" s="16"/>
      <c r="F78" s="16"/>
      <c r="G78" s="16"/>
      <c r="H78" s="16"/>
      <c r="I78" s="8"/>
      <c r="J78" s="8"/>
      <c r="K78" s="8"/>
      <c r="L78" s="8"/>
      <c r="M78" s="8"/>
      <c r="N78" s="8"/>
      <c r="O78" s="8"/>
    </row>
    <row r="79" customFormat="false" ht="24.75" hidden="false" customHeight="true" outlineLevel="0" collapsed="false">
      <c r="A79" s="7"/>
      <c r="B79" s="7"/>
      <c r="C79" s="8"/>
      <c r="D79" s="16"/>
      <c r="E79" s="16"/>
      <c r="F79" s="16"/>
      <c r="G79" s="16"/>
      <c r="H79" s="16"/>
      <c r="I79" s="8"/>
      <c r="J79" s="8"/>
      <c r="K79" s="8"/>
      <c r="L79" s="8"/>
      <c r="M79" s="8"/>
      <c r="N79" s="8"/>
      <c r="O79" s="8"/>
    </row>
    <row r="80" customFormat="false" ht="24.75" hidden="false" customHeight="true" outlineLevel="0" collapsed="false">
      <c r="A80" s="7"/>
      <c r="B80" s="7"/>
      <c r="C80" s="8"/>
      <c r="D80" s="16"/>
      <c r="E80" s="16"/>
      <c r="F80" s="16"/>
      <c r="G80" s="16"/>
      <c r="H80" s="16"/>
      <c r="I80" s="8"/>
      <c r="J80" s="8"/>
      <c r="K80" s="8"/>
      <c r="L80" s="8"/>
      <c r="M80" s="8"/>
      <c r="N80" s="8"/>
      <c r="O80" s="8"/>
    </row>
    <row r="81" customFormat="false" ht="24.75" hidden="false" customHeight="true" outlineLevel="0" collapsed="false">
      <c r="A81" s="7"/>
      <c r="B81" s="7"/>
      <c r="C81" s="8"/>
      <c r="D81" s="16"/>
      <c r="E81" s="16"/>
      <c r="F81" s="16"/>
      <c r="G81" s="16"/>
      <c r="H81" s="16"/>
      <c r="I81" s="8"/>
      <c r="J81" s="8"/>
      <c r="K81" s="8"/>
      <c r="L81" s="8"/>
      <c r="M81" s="8"/>
      <c r="N81" s="8"/>
      <c r="O81" s="8"/>
    </row>
    <row r="82" customFormat="false" ht="24.75" hidden="false" customHeight="true" outlineLevel="0" collapsed="false">
      <c r="A82" s="7"/>
      <c r="B82" s="7"/>
      <c r="C82" s="8"/>
      <c r="D82" s="16"/>
      <c r="E82" s="16"/>
      <c r="F82" s="16"/>
      <c r="G82" s="16"/>
      <c r="H82" s="16"/>
      <c r="I82" s="8"/>
      <c r="J82" s="8"/>
      <c r="K82" s="8"/>
      <c r="L82" s="8"/>
      <c r="M82" s="8"/>
      <c r="N82" s="8"/>
      <c r="O82" s="8"/>
    </row>
    <row r="83" customFormat="false" ht="24.75" hidden="false" customHeight="true" outlineLevel="0" collapsed="false">
      <c r="A83" s="7"/>
      <c r="B83" s="7"/>
      <c r="C83" s="8"/>
      <c r="D83" s="16"/>
      <c r="E83" s="16"/>
      <c r="F83" s="16"/>
      <c r="G83" s="16"/>
      <c r="H83" s="16"/>
      <c r="I83" s="8"/>
      <c r="J83" s="8"/>
      <c r="K83" s="8"/>
      <c r="L83" s="8"/>
      <c r="M83" s="8"/>
      <c r="N83" s="8"/>
      <c r="O83" s="8"/>
    </row>
    <row r="84" customFormat="false" ht="24.75" hidden="false" customHeight="true" outlineLevel="0" collapsed="false">
      <c r="A84" s="7"/>
      <c r="B84" s="7"/>
      <c r="C84" s="8"/>
      <c r="D84" s="16"/>
      <c r="E84" s="16"/>
      <c r="F84" s="16"/>
      <c r="G84" s="16"/>
      <c r="H84" s="16"/>
      <c r="I84" s="8"/>
      <c r="J84" s="8"/>
      <c r="K84" s="8"/>
      <c r="L84" s="8"/>
      <c r="M84" s="8"/>
      <c r="N84" s="8"/>
      <c r="O84" s="8"/>
    </row>
    <row r="85" customFormat="false" ht="24.75" hidden="false" customHeight="true" outlineLevel="0" collapsed="false">
      <c r="A85" s="7"/>
      <c r="B85" s="7"/>
      <c r="C85" s="8"/>
      <c r="D85" s="16"/>
      <c r="E85" s="16"/>
      <c r="F85" s="16"/>
      <c r="G85" s="16"/>
      <c r="H85" s="16"/>
      <c r="I85" s="8"/>
      <c r="J85" s="8"/>
      <c r="K85" s="8"/>
      <c r="L85" s="8"/>
      <c r="M85" s="8"/>
      <c r="N85" s="8"/>
      <c r="O85" s="8"/>
    </row>
    <row r="86" customFormat="false" ht="24.75" hidden="false" customHeight="true" outlineLevel="0" collapsed="false">
      <c r="A86" s="7"/>
      <c r="B86" s="7"/>
      <c r="C86" s="8"/>
      <c r="D86" s="16"/>
      <c r="E86" s="16"/>
      <c r="F86" s="16"/>
      <c r="G86" s="16"/>
      <c r="H86" s="16"/>
      <c r="I86" s="8"/>
      <c r="J86" s="8"/>
      <c r="K86" s="8"/>
      <c r="L86" s="8"/>
      <c r="M86" s="8"/>
      <c r="N86" s="8"/>
      <c r="O86" s="8"/>
    </row>
    <row r="87" customFormat="false" ht="24.75" hidden="false" customHeight="true" outlineLevel="0" collapsed="false">
      <c r="A87" s="7"/>
      <c r="B87" s="7"/>
      <c r="C87" s="8"/>
      <c r="D87" s="16"/>
      <c r="E87" s="16"/>
      <c r="F87" s="16"/>
      <c r="G87" s="16"/>
      <c r="H87" s="16"/>
      <c r="I87" s="8"/>
      <c r="J87" s="8"/>
      <c r="K87" s="8"/>
      <c r="L87" s="8"/>
      <c r="M87" s="8"/>
      <c r="N87" s="8"/>
      <c r="O87" s="8"/>
    </row>
    <row r="88" customFormat="false" ht="24.75" hidden="false" customHeight="true" outlineLevel="0" collapsed="false">
      <c r="A88" s="7"/>
      <c r="B88" s="7"/>
      <c r="C88" s="8"/>
      <c r="D88" s="16"/>
      <c r="E88" s="16"/>
      <c r="F88" s="16"/>
      <c r="G88" s="16"/>
      <c r="H88" s="16"/>
      <c r="I88" s="8"/>
      <c r="J88" s="8"/>
      <c r="K88" s="8"/>
      <c r="L88" s="8"/>
      <c r="M88" s="8"/>
      <c r="N88" s="8"/>
      <c r="O88" s="8"/>
    </row>
    <row r="89" customFormat="false" ht="24.75" hidden="false" customHeight="true" outlineLevel="0" collapsed="false">
      <c r="A89" s="7"/>
      <c r="B89" s="7"/>
      <c r="C89" s="8"/>
      <c r="D89" s="16"/>
      <c r="E89" s="16"/>
      <c r="F89" s="16"/>
      <c r="G89" s="16"/>
      <c r="H89" s="16"/>
      <c r="I89" s="8"/>
      <c r="J89" s="8"/>
      <c r="K89" s="8"/>
      <c r="L89" s="8"/>
      <c r="M89" s="8"/>
      <c r="N89" s="8"/>
      <c r="O89" s="8"/>
    </row>
    <row r="90" customFormat="false" ht="24.75" hidden="false" customHeight="true" outlineLevel="0" collapsed="false">
      <c r="A90" s="7"/>
      <c r="B90" s="7"/>
      <c r="C90" s="8"/>
      <c r="D90" s="16"/>
      <c r="E90" s="16"/>
      <c r="F90" s="16"/>
      <c r="G90" s="16"/>
      <c r="H90" s="16"/>
      <c r="I90" s="8"/>
      <c r="J90" s="8"/>
      <c r="K90" s="8"/>
      <c r="L90" s="8"/>
      <c r="M90" s="8"/>
      <c r="N90" s="8"/>
      <c r="O90" s="8"/>
    </row>
    <row r="91" customFormat="false" ht="24.75" hidden="false" customHeight="true" outlineLevel="0" collapsed="false">
      <c r="A91" s="7"/>
      <c r="B91" s="7"/>
      <c r="C91" s="8"/>
      <c r="D91" s="16"/>
      <c r="E91" s="16"/>
      <c r="F91" s="16"/>
      <c r="G91" s="16"/>
      <c r="H91" s="16"/>
      <c r="I91" s="8"/>
      <c r="J91" s="8"/>
      <c r="K91" s="8"/>
      <c r="L91" s="8"/>
      <c r="M91" s="8"/>
      <c r="N91" s="8"/>
      <c r="O91" s="8"/>
    </row>
    <row r="92" customFormat="false" ht="24.75" hidden="false" customHeight="true" outlineLevel="0" collapsed="false">
      <c r="A92" s="7"/>
      <c r="B92" s="7"/>
      <c r="C92" s="8"/>
      <c r="D92" s="16"/>
      <c r="E92" s="16"/>
      <c r="F92" s="16"/>
      <c r="G92" s="16"/>
      <c r="H92" s="16"/>
      <c r="I92" s="8"/>
      <c r="J92" s="8"/>
      <c r="K92" s="8"/>
      <c r="L92" s="8"/>
      <c r="M92" s="8"/>
      <c r="N92" s="8"/>
      <c r="O92" s="8"/>
    </row>
    <row r="93" customFormat="false" ht="24.75" hidden="false" customHeight="true" outlineLevel="0" collapsed="false">
      <c r="A93" s="7"/>
      <c r="B93" s="7"/>
      <c r="C93" s="8"/>
      <c r="D93" s="16"/>
      <c r="E93" s="16"/>
      <c r="F93" s="16"/>
      <c r="G93" s="16"/>
      <c r="H93" s="16"/>
      <c r="I93" s="8"/>
      <c r="J93" s="8"/>
      <c r="K93" s="8"/>
      <c r="L93" s="8"/>
      <c r="M93" s="8"/>
      <c r="N93" s="8"/>
      <c r="O93" s="8"/>
    </row>
    <row r="94" customFormat="false" ht="24.75" hidden="false" customHeight="true" outlineLevel="0" collapsed="false">
      <c r="A94" s="7"/>
      <c r="B94" s="7"/>
      <c r="C94" s="8"/>
      <c r="D94" s="16"/>
      <c r="E94" s="16"/>
      <c r="F94" s="16"/>
      <c r="G94" s="16"/>
      <c r="H94" s="16"/>
      <c r="I94" s="8"/>
      <c r="J94" s="8"/>
      <c r="K94" s="8"/>
      <c r="L94" s="8"/>
      <c r="M94" s="8"/>
      <c r="N94" s="8"/>
      <c r="O94" s="8"/>
    </row>
    <row r="95" customFormat="false" ht="24.75" hidden="false" customHeight="true" outlineLevel="0" collapsed="false">
      <c r="A95" s="7"/>
      <c r="B95" s="7"/>
      <c r="C95" s="8"/>
      <c r="D95" s="16"/>
      <c r="E95" s="16"/>
      <c r="F95" s="16"/>
      <c r="G95" s="16"/>
      <c r="H95" s="16"/>
      <c r="I95" s="8"/>
      <c r="J95" s="8"/>
      <c r="K95" s="8"/>
      <c r="L95" s="8"/>
      <c r="M95" s="8"/>
      <c r="N95" s="8"/>
      <c r="O95" s="8"/>
    </row>
    <row r="96" customFormat="false" ht="24.75" hidden="false" customHeight="true" outlineLevel="0" collapsed="false">
      <c r="A96" s="7"/>
      <c r="B96" s="7"/>
      <c r="C96" s="8"/>
      <c r="D96" s="16"/>
      <c r="E96" s="16"/>
      <c r="F96" s="16"/>
      <c r="G96" s="16"/>
      <c r="H96" s="16"/>
      <c r="I96" s="8"/>
      <c r="J96" s="8"/>
      <c r="K96" s="8"/>
      <c r="L96" s="8"/>
      <c r="M96" s="8"/>
      <c r="N96" s="8"/>
      <c r="O96" s="8"/>
    </row>
    <row r="97" customFormat="false" ht="24.75" hidden="false" customHeight="true" outlineLevel="0" collapsed="false">
      <c r="A97" s="7"/>
      <c r="B97" s="7"/>
      <c r="C97" s="8"/>
      <c r="D97" s="16"/>
      <c r="E97" s="16"/>
      <c r="F97" s="16"/>
      <c r="G97" s="16"/>
      <c r="H97" s="16"/>
      <c r="I97" s="8"/>
      <c r="J97" s="8"/>
      <c r="K97" s="8"/>
      <c r="L97" s="8"/>
      <c r="M97" s="8"/>
      <c r="N97" s="8"/>
      <c r="O97" s="8"/>
    </row>
    <row r="98" customFormat="false" ht="24.75" hidden="false" customHeight="true" outlineLevel="0" collapsed="false">
      <c r="A98" s="7"/>
      <c r="B98" s="7"/>
      <c r="C98" s="8"/>
      <c r="D98" s="16"/>
      <c r="E98" s="16"/>
      <c r="F98" s="16"/>
      <c r="G98" s="16"/>
      <c r="H98" s="16"/>
      <c r="I98" s="8"/>
      <c r="J98" s="8"/>
      <c r="K98" s="8"/>
      <c r="L98" s="8"/>
      <c r="M98" s="8"/>
      <c r="N98" s="8"/>
      <c r="O98" s="8"/>
    </row>
    <row r="99" customFormat="false" ht="24.75" hidden="false" customHeight="true" outlineLevel="0" collapsed="false">
      <c r="A99" s="7"/>
      <c r="B99" s="7"/>
      <c r="C99" s="8"/>
      <c r="D99" s="16"/>
      <c r="E99" s="16"/>
      <c r="F99" s="16"/>
      <c r="G99" s="16"/>
      <c r="H99" s="16"/>
      <c r="I99" s="8"/>
      <c r="J99" s="8"/>
      <c r="K99" s="8"/>
      <c r="L99" s="8"/>
      <c r="M99" s="8"/>
      <c r="N99" s="8"/>
      <c r="O99" s="8"/>
    </row>
    <row r="100" customFormat="false" ht="24.75" hidden="false" customHeight="true" outlineLevel="0" collapsed="false">
      <c r="A100" s="7"/>
      <c r="B100" s="7"/>
      <c r="C100" s="8"/>
      <c r="D100" s="16"/>
      <c r="E100" s="16"/>
      <c r="F100" s="16"/>
      <c r="G100" s="16"/>
      <c r="H100" s="16"/>
      <c r="I100" s="8"/>
      <c r="J100" s="8"/>
      <c r="K100" s="8"/>
      <c r="L100" s="8"/>
      <c r="M100" s="8"/>
      <c r="N100" s="8"/>
      <c r="O100" s="8"/>
    </row>
    <row r="101" customFormat="false" ht="24.75" hidden="false" customHeight="true" outlineLevel="0" collapsed="false">
      <c r="A101" s="7"/>
      <c r="B101" s="7"/>
      <c r="C101" s="8"/>
      <c r="D101" s="16"/>
      <c r="E101" s="16"/>
      <c r="F101" s="16"/>
      <c r="G101" s="16"/>
      <c r="H101" s="16"/>
      <c r="I101" s="8"/>
      <c r="J101" s="8"/>
      <c r="K101" s="8"/>
      <c r="L101" s="8"/>
      <c r="M101" s="8"/>
      <c r="N101" s="8"/>
      <c r="O101" s="8"/>
    </row>
    <row r="102" customFormat="false" ht="24.75" hidden="false" customHeight="true" outlineLevel="0" collapsed="false">
      <c r="A102" s="7"/>
      <c r="B102" s="7"/>
      <c r="C102" s="8"/>
      <c r="D102" s="16"/>
      <c r="E102" s="16"/>
      <c r="F102" s="16"/>
      <c r="G102" s="16"/>
      <c r="H102" s="16"/>
      <c r="I102" s="8"/>
      <c r="J102" s="8"/>
      <c r="K102" s="8"/>
      <c r="L102" s="8"/>
      <c r="M102" s="8"/>
      <c r="N102" s="8"/>
      <c r="O102" s="8"/>
    </row>
    <row r="103" customFormat="false" ht="24.75" hidden="false" customHeight="true" outlineLevel="0" collapsed="false">
      <c r="A103" s="7"/>
      <c r="B103" s="7"/>
      <c r="C103" s="8"/>
      <c r="D103" s="16"/>
      <c r="E103" s="16"/>
      <c r="F103" s="16"/>
      <c r="G103" s="16"/>
      <c r="H103" s="16"/>
      <c r="I103" s="8"/>
      <c r="J103" s="8"/>
      <c r="K103" s="8"/>
      <c r="L103" s="8"/>
      <c r="M103" s="8"/>
      <c r="N103" s="8"/>
      <c r="O103" s="8"/>
    </row>
    <row r="104" customFormat="false" ht="24.75" hidden="false" customHeight="true" outlineLevel="0" collapsed="false">
      <c r="A104" s="7"/>
      <c r="B104" s="7"/>
      <c r="C104" s="8"/>
      <c r="D104" s="16"/>
      <c r="E104" s="16"/>
      <c r="F104" s="16"/>
      <c r="G104" s="16"/>
      <c r="H104" s="16"/>
      <c r="I104" s="8"/>
      <c r="J104" s="8"/>
      <c r="K104" s="8"/>
      <c r="L104" s="8"/>
      <c r="M104" s="8"/>
      <c r="N104" s="8"/>
      <c r="O104" s="8"/>
    </row>
    <row r="105" customFormat="false" ht="24.75" hidden="false" customHeight="true" outlineLevel="0" collapsed="false">
      <c r="A105" s="7"/>
      <c r="B105" s="7"/>
      <c r="C105" s="8"/>
      <c r="D105" s="16"/>
      <c r="E105" s="16"/>
      <c r="F105" s="16"/>
      <c r="G105" s="16"/>
      <c r="H105" s="16"/>
      <c r="I105" s="8"/>
      <c r="J105" s="8"/>
      <c r="K105" s="8"/>
      <c r="L105" s="8"/>
      <c r="M105" s="8"/>
      <c r="N105" s="8"/>
      <c r="O105" s="8"/>
    </row>
    <row r="106" customFormat="false" ht="24.75" hidden="false" customHeight="true" outlineLevel="0" collapsed="false">
      <c r="A106" s="7"/>
      <c r="B106" s="7"/>
      <c r="C106" s="8"/>
      <c r="D106" s="16"/>
      <c r="E106" s="16"/>
      <c r="F106" s="16"/>
      <c r="G106" s="16"/>
      <c r="H106" s="16"/>
      <c r="I106" s="8"/>
      <c r="J106" s="8"/>
      <c r="K106" s="8"/>
      <c r="L106" s="8"/>
      <c r="M106" s="8"/>
      <c r="N106" s="8"/>
      <c r="O106" s="8"/>
    </row>
    <row r="107" customFormat="false" ht="24.75" hidden="false" customHeight="true" outlineLevel="0" collapsed="false">
      <c r="A107" s="7"/>
      <c r="B107" s="7"/>
      <c r="C107" s="8"/>
      <c r="D107" s="16"/>
      <c r="E107" s="16"/>
      <c r="F107" s="16"/>
      <c r="G107" s="16"/>
      <c r="H107" s="16"/>
      <c r="I107" s="8"/>
      <c r="J107" s="8"/>
      <c r="K107" s="8"/>
      <c r="L107" s="8"/>
      <c r="M107" s="8"/>
      <c r="N107" s="8"/>
      <c r="O107" s="8"/>
    </row>
    <row r="108" customFormat="false" ht="24.75" hidden="false" customHeight="true" outlineLevel="0" collapsed="false">
      <c r="A108" s="7"/>
      <c r="B108" s="7"/>
      <c r="C108" s="8"/>
      <c r="D108" s="16"/>
      <c r="E108" s="16"/>
      <c r="F108" s="16"/>
      <c r="G108" s="16"/>
      <c r="H108" s="16"/>
      <c r="I108" s="8"/>
      <c r="J108" s="8"/>
      <c r="K108" s="8"/>
      <c r="L108" s="8"/>
      <c r="M108" s="8"/>
      <c r="N108" s="8"/>
      <c r="O108" s="8"/>
    </row>
    <row r="109" customFormat="false" ht="24.75" hidden="false" customHeight="true" outlineLevel="0" collapsed="false">
      <c r="A109" s="7"/>
      <c r="B109" s="7"/>
      <c r="C109" s="8"/>
      <c r="D109" s="16"/>
      <c r="E109" s="16"/>
      <c r="F109" s="16"/>
      <c r="G109" s="16"/>
      <c r="H109" s="16"/>
      <c r="I109" s="8"/>
      <c r="J109" s="8"/>
      <c r="K109" s="8"/>
      <c r="L109" s="8"/>
      <c r="M109" s="8"/>
      <c r="N109" s="8"/>
      <c r="O109" s="8"/>
    </row>
    <row r="110" customFormat="false" ht="24.75" hidden="false" customHeight="true" outlineLevel="0" collapsed="false">
      <c r="A110" s="7"/>
      <c r="B110" s="7"/>
      <c r="C110" s="8"/>
      <c r="D110" s="16"/>
      <c r="E110" s="16"/>
      <c r="F110" s="16"/>
      <c r="G110" s="16"/>
      <c r="H110" s="16"/>
      <c r="I110" s="8"/>
      <c r="J110" s="8"/>
      <c r="K110" s="8"/>
      <c r="L110" s="8"/>
      <c r="M110" s="8"/>
      <c r="N110" s="8"/>
      <c r="O110" s="8"/>
    </row>
    <row r="111" customFormat="false" ht="24.75" hidden="false" customHeight="true" outlineLevel="0" collapsed="false">
      <c r="A111" s="7"/>
      <c r="B111" s="7"/>
      <c r="C111" s="8"/>
      <c r="D111" s="16"/>
      <c r="E111" s="16"/>
      <c r="F111" s="16"/>
      <c r="G111" s="16"/>
      <c r="H111" s="16"/>
      <c r="I111" s="8"/>
      <c r="J111" s="8"/>
      <c r="K111" s="8"/>
      <c r="L111" s="8"/>
      <c r="M111" s="8"/>
      <c r="N111" s="8"/>
      <c r="O111" s="8"/>
    </row>
    <row r="112" customFormat="false" ht="24.75" hidden="false" customHeight="true" outlineLevel="0" collapsed="false">
      <c r="A112" s="7"/>
      <c r="B112" s="7"/>
      <c r="C112" s="8"/>
      <c r="D112" s="16"/>
      <c r="E112" s="16"/>
      <c r="F112" s="16"/>
      <c r="G112" s="16"/>
      <c r="H112" s="16"/>
      <c r="I112" s="8"/>
      <c r="J112" s="8"/>
      <c r="K112" s="8"/>
      <c r="L112" s="8"/>
      <c r="M112" s="8"/>
      <c r="N112" s="8"/>
      <c r="O112" s="8"/>
    </row>
    <row r="113" customFormat="false" ht="24.75" hidden="false" customHeight="true" outlineLevel="0" collapsed="false">
      <c r="A113" s="7"/>
      <c r="B113" s="7"/>
      <c r="C113" s="8"/>
      <c r="D113" s="16"/>
      <c r="E113" s="16"/>
      <c r="F113" s="16"/>
      <c r="G113" s="16"/>
      <c r="H113" s="16"/>
      <c r="I113" s="8"/>
      <c r="J113" s="8"/>
      <c r="K113" s="8"/>
      <c r="L113" s="8"/>
      <c r="M113" s="8"/>
      <c r="N113" s="8"/>
      <c r="O113" s="8"/>
    </row>
    <row r="114" customFormat="false" ht="24.75" hidden="false" customHeight="true" outlineLevel="0" collapsed="false">
      <c r="A114" s="7"/>
      <c r="B114" s="7"/>
      <c r="C114" s="8"/>
      <c r="D114" s="16"/>
      <c r="E114" s="16"/>
      <c r="F114" s="16"/>
      <c r="G114" s="16"/>
      <c r="H114" s="16"/>
      <c r="I114" s="8"/>
      <c r="J114" s="8"/>
      <c r="K114" s="8"/>
      <c r="L114" s="8"/>
      <c r="M114" s="8"/>
      <c r="N114" s="8"/>
      <c r="O114" s="8"/>
    </row>
    <row r="115" customFormat="false" ht="24.75" hidden="false" customHeight="true" outlineLevel="0" collapsed="false">
      <c r="A115" s="7"/>
      <c r="B115" s="7"/>
      <c r="C115" s="8"/>
      <c r="D115" s="16"/>
      <c r="E115" s="16"/>
      <c r="F115" s="16"/>
      <c r="G115" s="16"/>
      <c r="H115" s="16"/>
      <c r="I115" s="8"/>
      <c r="J115" s="8"/>
      <c r="K115" s="8"/>
      <c r="L115" s="8"/>
      <c r="M115" s="8"/>
      <c r="N115" s="8"/>
      <c r="O115" s="8"/>
    </row>
  </sheetData>
  <mergeCells count="8">
    <mergeCell ref="C2:H2"/>
    <mergeCell ref="C21:H21"/>
    <mergeCell ref="C23:H23"/>
    <mergeCell ref="C24:H24"/>
    <mergeCell ref="C25:H25"/>
    <mergeCell ref="C26:H26"/>
    <mergeCell ref="C27:H27"/>
    <mergeCell ref="C28:H2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8C1C6"/>
    <pageSetUpPr fitToPage="false"/>
  </sheetPr>
  <dimension ref="C1:P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2.5"/>
    <col collapsed="false" customWidth="true" hidden="false" outlineLevel="0" max="3" min="3" style="0" width="9"/>
    <col collapsed="false" customWidth="true" hidden="false" outlineLevel="0" max="5" min="4" style="0" width="27"/>
    <col collapsed="false" customWidth="true" hidden="false" outlineLevel="0" max="10" min="6" style="0" width="14"/>
    <col collapsed="false" customWidth="true" hidden="false" outlineLevel="0" max="11" min="11" style="0" width="29"/>
    <col collapsed="false" customWidth="true" hidden="false" outlineLevel="0" max="12" min="12" style="0" width="65"/>
    <col collapsed="false" customWidth="true" hidden="false" outlineLevel="0" max="16" min="13" style="0" width="14"/>
  </cols>
  <sheetData>
    <row r="1" customFormat="false" ht="21" hidden="false" customHeight="true" outlineLevel="0" collapsed="false"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</row>
    <row r="2" customFormat="false" ht="30" hidden="false" customHeight="true" outlineLevel="0" collapsed="false">
      <c r="C2" s="75" t="s">
        <v>579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customFormat="false" ht="21" hidden="false" customHeight="true" outlineLevel="0" collapsed="false"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</row>
    <row r="4" customFormat="false" ht="21" hidden="false" customHeight="true" outlineLevel="0" collapsed="false">
      <c r="C4" s="74" t="s">
        <v>580</v>
      </c>
      <c r="D4" s="77" t="str">
        <f aca="false">'W Assumptions'!D3</f>
        <v>Base</v>
      </c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</row>
    <row r="5" customFormat="false" ht="33.75" hidden="false" customHeight="true" outlineLevel="0" collapsed="false">
      <c r="C5" s="78" t="s">
        <v>581</v>
      </c>
      <c r="D5" s="78" t="s">
        <v>582</v>
      </c>
      <c r="E5" s="78" t="s">
        <v>583</v>
      </c>
      <c r="F5" s="78" t="s">
        <v>584</v>
      </c>
      <c r="G5" s="78" t="s">
        <v>585</v>
      </c>
      <c r="H5" s="78" t="s">
        <v>586</v>
      </c>
      <c r="I5" s="78" t="s">
        <v>587</v>
      </c>
      <c r="J5" s="78" t="s">
        <v>588</v>
      </c>
      <c r="K5" s="78" t="s">
        <v>589</v>
      </c>
      <c r="L5" s="78" t="s">
        <v>590</v>
      </c>
      <c r="M5" s="74"/>
      <c r="N5" s="74"/>
      <c r="O5" s="74"/>
      <c r="P5" s="74"/>
    </row>
    <row r="6" customFormat="false" ht="34.5" hidden="false" customHeight="true" outlineLevel="0" collapsed="false">
      <c r="C6" s="74" t="s">
        <v>148</v>
      </c>
      <c r="D6" s="79" t="s">
        <v>591</v>
      </c>
      <c r="E6" s="80" t="n">
        <v>350000</v>
      </c>
      <c r="F6" s="81" t="n">
        <f aca="false">'W Site Costs'!S6</f>
        <v>30000</v>
      </c>
      <c r="G6" s="81" t="n">
        <f aca="false">'W Site Costs'!J6*2</f>
        <v>30000</v>
      </c>
      <c r="H6" s="80" t="n">
        <v>60</v>
      </c>
      <c r="I6" s="82" t="n">
        <f aca="false">MAX(DATE(2026,9,1),EDATE(DATE(YEAR('W Sites'!F6),MONTH('W Sites'!F6),1),-1))</f>
        <v>46266</v>
      </c>
      <c r="J6" s="82" t="n">
        <f aca="false">'W Sites'!F6</f>
        <v>46280</v>
      </c>
      <c r="K6" s="79" t="s">
        <v>592</v>
      </c>
      <c r="L6" s="79" t="s">
        <v>593</v>
      </c>
      <c r="M6" s="79"/>
      <c r="N6" s="79"/>
      <c r="O6" s="79"/>
      <c r="P6" s="79"/>
    </row>
    <row r="7" customFormat="false" ht="34.5" hidden="false" customHeight="true" outlineLevel="0" collapsed="false">
      <c r="C7" s="74" t="s">
        <v>152</v>
      </c>
      <c r="D7" s="79" t="s">
        <v>594</v>
      </c>
      <c r="E7" s="80" t="n">
        <v>80000</v>
      </c>
      <c r="F7" s="81" t="n">
        <f aca="false">'W Site Costs'!S7</f>
        <v>10000</v>
      </c>
      <c r="G7" s="81" t="n">
        <f aca="false">'W Site Costs'!J7*2</f>
        <v>0</v>
      </c>
      <c r="H7" s="80" t="n">
        <v>60</v>
      </c>
      <c r="I7" s="82" t="n">
        <f aca="false">MAX(DATE(2026,9,1),EDATE(DATE(YEAR('W Sites'!F7),MONTH('W Sites'!F7),1),-1))</f>
        <v>46266</v>
      </c>
      <c r="J7" s="82" t="n">
        <f aca="false">'W Sites'!F7</f>
        <v>46315</v>
      </c>
      <c r="K7" s="79" t="s">
        <v>592</v>
      </c>
      <c r="L7" s="79" t="s">
        <v>593</v>
      </c>
      <c r="M7" s="79"/>
      <c r="N7" s="79"/>
      <c r="O7" s="79"/>
      <c r="P7" s="79"/>
    </row>
    <row r="8" customFormat="false" ht="34.5" hidden="false" customHeight="true" outlineLevel="0" collapsed="false">
      <c r="C8" s="74" t="s">
        <v>155</v>
      </c>
      <c r="D8" s="79" t="s">
        <v>595</v>
      </c>
      <c r="E8" s="80" t="n">
        <v>600000</v>
      </c>
      <c r="F8" s="81" t="n">
        <f aca="false">'W Site Costs'!S8</f>
        <v>35000</v>
      </c>
      <c r="G8" s="81" t="n">
        <f aca="false">'W Site Costs'!J8*2</f>
        <v>70000</v>
      </c>
      <c r="H8" s="80" t="n">
        <v>60</v>
      </c>
      <c r="I8" s="82" t="n">
        <f aca="false">MAX(DATE(2026,9,1),EDATE(DATE(YEAR('W Sites'!F8),MONTH('W Sites'!F8),1),-1))</f>
        <v>46357</v>
      </c>
      <c r="J8" s="82" t="n">
        <f aca="false">'W Sites'!F8</f>
        <v>46388</v>
      </c>
      <c r="K8" s="79" t="s">
        <v>592</v>
      </c>
      <c r="L8" s="79" t="s">
        <v>593</v>
      </c>
      <c r="M8" s="79"/>
      <c r="N8" s="79"/>
      <c r="O8" s="79"/>
      <c r="P8" s="79"/>
    </row>
    <row r="9" customFormat="false" ht="34.5" hidden="false" customHeight="true" outlineLevel="0" collapsed="false">
      <c r="C9" s="74" t="s">
        <v>158</v>
      </c>
      <c r="D9" s="79" t="s">
        <v>596</v>
      </c>
      <c r="E9" s="80" t="n">
        <v>500000</v>
      </c>
      <c r="F9" s="81" t="n">
        <f aca="false">'W Site Costs'!S9</f>
        <v>25000</v>
      </c>
      <c r="G9" s="81" t="n">
        <f aca="false">'W Site Costs'!J9*2</f>
        <v>44000</v>
      </c>
      <c r="H9" s="80" t="n">
        <v>60</v>
      </c>
      <c r="I9" s="82" t="n">
        <f aca="false">MAX(DATE(2026,9,1),EDATE(DATE(YEAR('W Sites'!F9),MONTH('W Sites'!F9),1),-1))</f>
        <v>46296</v>
      </c>
      <c r="J9" s="82" t="n">
        <f aca="false">'W Sites'!F9</f>
        <v>46341</v>
      </c>
      <c r="K9" s="79" t="s">
        <v>592</v>
      </c>
      <c r="L9" s="79" t="s">
        <v>593</v>
      </c>
      <c r="M9" s="79"/>
      <c r="N9" s="79"/>
      <c r="O9" s="79"/>
      <c r="P9" s="79"/>
    </row>
    <row r="10" customFormat="false" ht="34.5" hidden="false" customHeight="true" outlineLevel="0" collapsed="false">
      <c r="C10" s="74" t="s">
        <v>160</v>
      </c>
      <c r="D10" s="79" t="s">
        <v>597</v>
      </c>
      <c r="E10" s="80" t="n">
        <v>750000</v>
      </c>
      <c r="F10" s="81" t="n">
        <f aca="false">'W Site Costs'!S10</f>
        <v>35000</v>
      </c>
      <c r="G10" s="81" t="n">
        <f aca="false">'W Site Costs'!J10*2</f>
        <v>60000</v>
      </c>
      <c r="H10" s="80" t="n">
        <v>60</v>
      </c>
      <c r="I10" s="82" t="n">
        <f aca="false">MAX(DATE(2026,9,1),EDATE(DATE(YEAR('W Sites'!F10),MONTH('W Sites'!F10),1),-1))</f>
        <v>46327</v>
      </c>
      <c r="J10" s="82" t="n">
        <f aca="false">'W Sites'!F10</f>
        <v>46357</v>
      </c>
      <c r="K10" s="79" t="s">
        <v>592</v>
      </c>
      <c r="L10" s="79" t="s">
        <v>593</v>
      </c>
      <c r="M10" s="79"/>
      <c r="N10" s="79"/>
      <c r="O10" s="79"/>
      <c r="P10" s="79"/>
    </row>
    <row r="11" customFormat="false" ht="34.5" hidden="false" customHeight="true" outlineLevel="0" collapsed="false">
      <c r="C11" s="74" t="s">
        <v>162</v>
      </c>
      <c r="D11" s="79" t="s">
        <v>598</v>
      </c>
      <c r="E11" s="80" t="n">
        <v>150000</v>
      </c>
      <c r="F11" s="81" t="n">
        <f aca="false">'W Site Costs'!S11</f>
        <v>15000</v>
      </c>
      <c r="G11" s="81" t="n">
        <f aca="false">'W Site Costs'!J11*2</f>
        <v>10000</v>
      </c>
      <c r="H11" s="80" t="n">
        <v>60</v>
      </c>
      <c r="I11" s="82" t="n">
        <f aca="false">MAX(DATE(2026,9,1),EDATE(DATE(YEAR('W Sites'!F11),MONTH('W Sites'!F11),1),-1))</f>
        <v>46266</v>
      </c>
      <c r="J11" s="82" t="n">
        <f aca="false">'W Sites'!F11</f>
        <v>46315</v>
      </c>
      <c r="K11" s="79" t="s">
        <v>592</v>
      </c>
      <c r="L11" s="79" t="s">
        <v>593</v>
      </c>
      <c r="M11" s="79"/>
      <c r="N11" s="79"/>
      <c r="O11" s="79"/>
      <c r="P11" s="79"/>
    </row>
    <row r="12" customFormat="false" ht="34.5" hidden="false" customHeight="true" outlineLevel="0" collapsed="false">
      <c r="C12" s="74" t="s">
        <v>164</v>
      </c>
      <c r="D12" s="79" t="s">
        <v>599</v>
      </c>
      <c r="E12" s="80" t="n">
        <v>450000</v>
      </c>
      <c r="F12" s="81" t="n">
        <f aca="false">'W Site Costs'!S12</f>
        <v>20000</v>
      </c>
      <c r="G12" s="81" t="n">
        <f aca="false">'W Site Costs'!J12*2</f>
        <v>16000</v>
      </c>
      <c r="H12" s="80" t="n">
        <v>60</v>
      </c>
      <c r="I12" s="82" t="n">
        <f aca="false">MAX(DATE(2026,9,1),EDATE(DATE(YEAR('W Sites'!F12),MONTH('W Sites'!F12),1),-1))</f>
        <v>46357</v>
      </c>
      <c r="J12" s="82" t="n">
        <f aca="false">'W Sites'!F12</f>
        <v>46388</v>
      </c>
      <c r="K12" s="79" t="s">
        <v>592</v>
      </c>
      <c r="L12" s="79" t="s">
        <v>593</v>
      </c>
      <c r="M12" s="79"/>
      <c r="N12" s="79"/>
      <c r="O12" s="79"/>
      <c r="P12" s="79"/>
    </row>
    <row r="13" customFormat="false" ht="34.5" hidden="false" customHeight="true" outlineLevel="0" collapsed="false">
      <c r="C13" s="74" t="s">
        <v>166</v>
      </c>
      <c r="D13" s="79" t="s">
        <v>600</v>
      </c>
      <c r="E13" s="80" t="n">
        <v>1200000</v>
      </c>
      <c r="F13" s="81" t="n">
        <f aca="false">'W Site Costs'!S13</f>
        <v>60000</v>
      </c>
      <c r="G13" s="81" t="n">
        <f aca="false">'W Site Costs'!J13*2</f>
        <v>0</v>
      </c>
      <c r="H13" s="80" t="n">
        <v>60</v>
      </c>
      <c r="I13" s="82" t="n">
        <f aca="false">MAX(DATE(2026,9,1),EDATE(DATE(YEAR('W Sites'!F13),MONTH('W Sites'!F13),1),-1))</f>
        <v>46388</v>
      </c>
      <c r="J13" s="82" t="n">
        <f aca="false">'W Sites'!F13</f>
        <v>46446</v>
      </c>
      <c r="K13" s="79" t="s">
        <v>592</v>
      </c>
      <c r="L13" s="79" t="s">
        <v>593</v>
      </c>
      <c r="M13" s="79"/>
      <c r="N13" s="79"/>
      <c r="O13" s="79"/>
      <c r="P13" s="79"/>
    </row>
    <row r="14" customFormat="false" ht="34.5" hidden="false" customHeight="true" outlineLevel="0" collapsed="false">
      <c r="C14" s="74" t="s">
        <v>169</v>
      </c>
      <c r="D14" s="79" t="s">
        <v>601</v>
      </c>
      <c r="E14" s="80" t="n">
        <v>1500000</v>
      </c>
      <c r="F14" s="81" t="n">
        <f aca="false">'W Site Costs'!S14</f>
        <v>60000</v>
      </c>
      <c r="G14" s="81" t="n">
        <f aca="false">'W Site Costs'!J14*2</f>
        <v>100000</v>
      </c>
      <c r="H14" s="80" t="n">
        <v>60</v>
      </c>
      <c r="I14" s="82" t="n">
        <f aca="false">MAX(DATE(2026,9,1),EDATE(DATE(YEAR('W Sites'!F14),MONTH('W Sites'!F14),1),-1))</f>
        <v>46419</v>
      </c>
      <c r="J14" s="82" t="n">
        <f aca="false">'W Sites'!F14</f>
        <v>46447</v>
      </c>
      <c r="K14" s="79" t="s">
        <v>592</v>
      </c>
      <c r="L14" s="79" t="s">
        <v>593</v>
      </c>
      <c r="M14" s="79"/>
      <c r="N14" s="79"/>
      <c r="O14" s="79"/>
      <c r="P14" s="79"/>
    </row>
    <row r="15" customFormat="false" ht="34.5" hidden="false" customHeight="true" outlineLevel="0" collapsed="false">
      <c r="C15" s="74" t="s">
        <v>172</v>
      </c>
      <c r="D15" s="79" t="s">
        <v>602</v>
      </c>
      <c r="E15" s="80" t="n">
        <v>800000</v>
      </c>
      <c r="F15" s="81" t="n">
        <f aca="false">'W Site Costs'!S15</f>
        <v>45000</v>
      </c>
      <c r="G15" s="81" t="n">
        <f aca="false">'W Site Costs'!J15*2</f>
        <v>80000</v>
      </c>
      <c r="H15" s="80" t="n">
        <v>60</v>
      </c>
      <c r="I15" s="82" t="n">
        <f aca="false">MAX(DATE(2026,9,1),EDATE(DATE(YEAR('W Sites'!F15),MONTH('W Sites'!F15),1),-1))</f>
        <v>46447</v>
      </c>
      <c r="J15" s="82" t="n">
        <f aca="false">'W Sites'!F15</f>
        <v>46478</v>
      </c>
      <c r="K15" s="79" t="s">
        <v>592</v>
      </c>
      <c r="L15" s="79" t="s">
        <v>593</v>
      </c>
      <c r="M15" s="79"/>
      <c r="N15" s="79"/>
      <c r="O15" s="79"/>
      <c r="P15" s="79"/>
    </row>
    <row r="16" customFormat="false" ht="21" hidden="false" customHeight="true" outlineLevel="0" collapsed="false">
      <c r="C16" s="74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</row>
    <row r="17" customFormat="false" ht="21" hidden="false" customHeight="true" outlineLevel="0" collapsed="false">
      <c r="C17" s="74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</row>
    <row r="18" customFormat="false" ht="21" hidden="false" customHeight="true" outlineLevel="0" collapsed="false">
      <c r="C18" s="83" t="s">
        <v>603</v>
      </c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</row>
    <row r="19" customFormat="false" ht="21" hidden="false" customHeight="true" outlineLevel="0" collapsed="false">
      <c r="C19" s="83" t="s">
        <v>604</v>
      </c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</row>
    <row r="20" customFormat="false" ht="21" hidden="false" customHeight="true" outlineLevel="0" collapsed="false">
      <c r="C20" s="83" t="s">
        <v>605</v>
      </c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</row>
    <row r="21" customFormat="false" ht="21" hidden="false" customHeight="true" outlineLevel="0" collapsed="false">
      <c r="C21" s="74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</row>
    <row r="22" customFormat="false" ht="21" hidden="false" customHeight="true" outlineLevel="0" collapsed="false">
      <c r="C22" s="74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</row>
    <row r="23" customFormat="false" ht="21" hidden="false" customHeight="true" outlineLevel="0" collapsed="false">
      <c r="C23" s="74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</row>
    <row r="24" customFormat="false" ht="21" hidden="false" customHeight="true" outlineLevel="0" collapsed="false">
      <c r="C24" s="74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</row>
    <row r="25" customFormat="false" ht="21" hidden="false" customHeight="true" outlineLevel="0" collapsed="false">
      <c r="C25" s="74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</row>
    <row r="26" customFormat="false" ht="48" hidden="false" customHeight="true" outlineLevel="0" collapsed="false"/>
    <row r="27" customFormat="false" ht="48" hidden="false" customHeight="true" outlineLevel="0" collapsed="false"/>
    <row r="28" customFormat="false" ht="48" hidden="false" customHeight="true" outlineLevel="0" collapsed="false"/>
    <row r="29" customFormat="false" ht="48" hidden="false" customHeight="true" outlineLevel="0" collapsed="false"/>
    <row r="30" customFormat="false" ht="48" hidden="false" customHeight="true" outlineLevel="0" collapsed="false"/>
    <row r="31" customFormat="false" ht="48" hidden="false" customHeight="true" outlineLevel="0" collapsed="false"/>
    <row r="32" customFormat="false" ht="48" hidden="false" customHeight="true" outlineLevel="0" collapsed="false"/>
    <row r="33" customFormat="false" ht="48" hidden="false" customHeight="true" outlineLevel="0" collapsed="false"/>
    <row r="34" customFormat="false" ht="48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8C1C6"/>
    <pageSetUpPr fitToPage="false"/>
  </sheetPr>
  <dimension ref="C1:K1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2.5"/>
    <col collapsed="false" customWidth="true" hidden="false" outlineLevel="0" max="3" min="3" style="0" width="43"/>
    <col collapsed="false" customWidth="true" hidden="false" outlineLevel="0" max="6" min="4" style="0" width="14"/>
    <col collapsed="false" customWidth="true" hidden="false" outlineLevel="0" max="7" min="7" style="0" width="95"/>
    <col collapsed="false" customWidth="true" hidden="false" outlineLevel="0" max="11" min="8" style="0" width="14"/>
  </cols>
  <sheetData>
    <row r="1" customFormat="false" ht="21" hidden="false" customHeight="true" outlineLevel="0" collapsed="false">
      <c r="C1" s="74"/>
      <c r="D1" s="74"/>
      <c r="E1" s="74"/>
      <c r="F1" s="74"/>
      <c r="G1" s="74"/>
      <c r="H1" s="74"/>
      <c r="I1" s="74"/>
      <c r="J1" s="74"/>
      <c r="K1" s="74"/>
    </row>
    <row r="2" customFormat="false" ht="30" hidden="false" customHeight="true" outlineLevel="0" collapsed="false">
      <c r="C2" s="75" t="s">
        <v>606</v>
      </c>
      <c r="D2" s="74"/>
      <c r="E2" s="74"/>
      <c r="F2" s="74"/>
      <c r="G2" s="74"/>
      <c r="H2" s="74"/>
      <c r="I2" s="74"/>
      <c r="J2" s="74"/>
      <c r="K2" s="74"/>
    </row>
    <row r="3" customFormat="false" ht="21" hidden="false" customHeight="true" outlineLevel="0" collapsed="false">
      <c r="C3" s="76" t="s">
        <v>607</v>
      </c>
      <c r="D3" s="84" t="str">
        <f aca="false">CHOOSE(Terms!D44,"Conservative","Base","Growth")</f>
        <v>Base</v>
      </c>
      <c r="E3" s="76"/>
      <c r="F3" s="76"/>
      <c r="G3" s="76"/>
      <c r="H3" s="76"/>
      <c r="I3" s="76"/>
      <c r="J3" s="76"/>
      <c r="K3" s="76"/>
    </row>
    <row r="4" customFormat="false" ht="21" hidden="false" customHeight="true" outlineLevel="0" collapsed="false">
      <c r="C4" s="74"/>
      <c r="D4" s="74"/>
      <c r="E4" s="74"/>
      <c r="F4" s="74"/>
      <c r="G4" s="74"/>
      <c r="H4" s="74"/>
      <c r="I4" s="74"/>
      <c r="J4" s="74"/>
      <c r="K4" s="74"/>
    </row>
    <row r="5" customFormat="false" ht="21" hidden="false" customHeight="true" outlineLevel="0" collapsed="false">
      <c r="C5" s="74"/>
      <c r="D5" s="74"/>
      <c r="E5" s="74"/>
      <c r="F5" s="74"/>
      <c r="G5" s="74"/>
      <c r="H5" s="74"/>
      <c r="I5" s="74"/>
      <c r="J5" s="74"/>
      <c r="K5" s="74"/>
    </row>
    <row r="6" customFormat="false" ht="33.75" hidden="false" customHeight="true" outlineLevel="0" collapsed="false">
      <c r="C6" s="78" t="s">
        <v>608</v>
      </c>
      <c r="D6" s="85" t="s">
        <v>609</v>
      </c>
      <c r="E6" s="85" t="s">
        <v>610</v>
      </c>
      <c r="F6" s="85" t="s">
        <v>611</v>
      </c>
      <c r="G6" s="85" t="s">
        <v>612</v>
      </c>
      <c r="H6" s="79"/>
      <c r="I6" s="79"/>
      <c r="J6" s="79"/>
      <c r="K6" s="79"/>
    </row>
    <row r="7" customFormat="false" ht="21" hidden="false" customHeight="true" outlineLevel="0" collapsed="false">
      <c r="C7" s="86" t="s">
        <v>613</v>
      </c>
      <c r="D7" s="87" t="n">
        <f aca="false">IF($D$3="Conservative",D8,IF($D$3="Growth",D10,D9))</f>
        <v>1</v>
      </c>
      <c r="E7" s="87" t="n">
        <f aca="false">IF($D$3="Conservative",E8,IF($D$3="Growth",E10,E9))</f>
        <v>1</v>
      </c>
      <c r="F7" s="87" t="n">
        <f aca="false">IF($D$3="Conservative",F8,IF($D$3="Growth",F10,F9))</f>
        <v>1</v>
      </c>
      <c r="G7" s="79"/>
      <c r="H7" s="79"/>
      <c r="I7" s="79"/>
      <c r="J7" s="79"/>
      <c r="K7" s="79"/>
    </row>
    <row r="8" customFormat="false" ht="21" hidden="false" customHeight="true" outlineLevel="0" collapsed="false">
      <c r="C8" s="74" t="s">
        <v>614</v>
      </c>
      <c r="D8" s="88" t="n">
        <v>0.75</v>
      </c>
      <c r="E8" s="88" t="n">
        <v>0.8</v>
      </c>
      <c r="F8" s="88" t="n">
        <v>0.85</v>
      </c>
      <c r="G8" s="79"/>
      <c r="H8" s="79"/>
      <c r="I8" s="79"/>
      <c r="J8" s="79"/>
      <c r="K8" s="79"/>
    </row>
    <row r="9" customFormat="false" ht="21" hidden="false" customHeight="true" outlineLevel="0" collapsed="false">
      <c r="C9" s="74" t="s">
        <v>615</v>
      </c>
      <c r="D9" s="88" t="n">
        <v>1</v>
      </c>
      <c r="E9" s="88" t="n">
        <v>1</v>
      </c>
      <c r="F9" s="88" t="n">
        <v>1</v>
      </c>
      <c r="G9" s="79"/>
      <c r="H9" s="79"/>
      <c r="I9" s="79"/>
      <c r="J9" s="79"/>
      <c r="K9" s="79"/>
    </row>
    <row r="10" customFormat="false" ht="21" hidden="false" customHeight="true" outlineLevel="0" collapsed="false">
      <c r="C10" s="74" t="s">
        <v>616</v>
      </c>
      <c r="D10" s="88" t="n">
        <v>1.15</v>
      </c>
      <c r="E10" s="88" t="n">
        <v>1.2</v>
      </c>
      <c r="F10" s="88" t="n">
        <v>1.25</v>
      </c>
      <c r="G10" s="79"/>
      <c r="H10" s="79"/>
      <c r="I10" s="79"/>
      <c r="J10" s="79"/>
      <c r="K10" s="79"/>
    </row>
    <row r="11" customFormat="false" ht="21" hidden="false" customHeight="true" outlineLevel="0" collapsed="false">
      <c r="C11" s="74"/>
      <c r="D11" s="79"/>
      <c r="E11" s="79"/>
      <c r="F11" s="79"/>
      <c r="G11" s="79"/>
      <c r="H11" s="79"/>
      <c r="I11" s="79"/>
      <c r="J11" s="79"/>
      <c r="K11" s="79"/>
    </row>
    <row r="12" customFormat="false" ht="21" hidden="false" customHeight="true" outlineLevel="0" collapsed="false">
      <c r="C12" s="86" t="s">
        <v>617</v>
      </c>
      <c r="D12" s="87" t="n">
        <f aca="false">IF($D$3="Conservative",D13,IF($D$3="Growth",D15,D14))</f>
        <v>1</v>
      </c>
      <c r="E12" s="87" t="n">
        <f aca="false">IF($D$3="Conservative",E13,IF($D$3="Growth",E15,E14))</f>
        <v>1</v>
      </c>
      <c r="F12" s="87" t="n">
        <f aca="false">IF($D$3="Conservative",F13,IF($D$3="Growth",F15,F14))</f>
        <v>1</v>
      </c>
      <c r="G12" s="79"/>
      <c r="H12" s="79"/>
      <c r="I12" s="79"/>
      <c r="J12" s="79"/>
      <c r="K12" s="79"/>
    </row>
    <row r="13" customFormat="false" ht="21" hidden="false" customHeight="true" outlineLevel="0" collapsed="false">
      <c r="C13" s="74" t="s">
        <v>614</v>
      </c>
      <c r="D13" s="88" t="n">
        <v>0.95</v>
      </c>
      <c r="E13" s="88" t="n">
        <v>0.95</v>
      </c>
      <c r="F13" s="88" t="n">
        <v>0.95</v>
      </c>
      <c r="G13" s="79"/>
      <c r="H13" s="79"/>
      <c r="I13" s="79"/>
      <c r="J13" s="79"/>
      <c r="K13" s="79"/>
    </row>
    <row r="14" customFormat="false" ht="21" hidden="false" customHeight="true" outlineLevel="0" collapsed="false">
      <c r="C14" s="74" t="s">
        <v>615</v>
      </c>
      <c r="D14" s="88" t="n">
        <v>1</v>
      </c>
      <c r="E14" s="88" t="n">
        <v>1</v>
      </c>
      <c r="F14" s="88" t="n">
        <v>1</v>
      </c>
      <c r="G14" s="79"/>
      <c r="H14" s="79"/>
      <c r="I14" s="79"/>
      <c r="J14" s="79"/>
      <c r="K14" s="79"/>
    </row>
    <row r="15" customFormat="false" ht="21" hidden="false" customHeight="true" outlineLevel="0" collapsed="false">
      <c r="C15" s="74" t="s">
        <v>616</v>
      </c>
      <c r="D15" s="88" t="n">
        <v>1.03</v>
      </c>
      <c r="E15" s="88" t="n">
        <v>1.03</v>
      </c>
      <c r="F15" s="88" t="n">
        <v>1.03</v>
      </c>
      <c r="G15" s="79"/>
      <c r="H15" s="79"/>
      <c r="I15" s="79"/>
      <c r="J15" s="79"/>
      <c r="K15" s="79"/>
    </row>
    <row r="16" customFormat="false" ht="21" hidden="false" customHeight="true" outlineLevel="0" collapsed="false">
      <c r="C16" s="74"/>
      <c r="D16" s="79"/>
      <c r="E16" s="79"/>
      <c r="F16" s="79"/>
      <c r="G16" s="79"/>
      <c r="H16" s="79"/>
      <c r="I16" s="79"/>
      <c r="J16" s="79"/>
      <c r="K16" s="79"/>
    </row>
    <row r="17" customFormat="false" ht="21" hidden="false" customHeight="true" outlineLevel="0" collapsed="false">
      <c r="C17" s="86" t="s">
        <v>618</v>
      </c>
      <c r="D17" s="87" t="n">
        <f aca="false">IF($D$3="Conservative",D18,IF($D$3="Growth",D20,D19))</f>
        <v>1</v>
      </c>
      <c r="E17" s="87" t="n">
        <f aca="false">IF($D$3="Conservative",E18,IF($D$3="Growth",E20,E19))</f>
        <v>1</v>
      </c>
      <c r="F17" s="87" t="n">
        <f aca="false">IF($D$3="Conservative",F18,IF($D$3="Growth",F20,F19))</f>
        <v>1</v>
      </c>
      <c r="G17" s="79"/>
      <c r="H17" s="79"/>
      <c r="I17" s="79"/>
      <c r="J17" s="79"/>
      <c r="K17" s="79"/>
    </row>
    <row r="18" customFormat="false" ht="21" hidden="false" customHeight="true" outlineLevel="0" collapsed="false">
      <c r="C18" s="74" t="s">
        <v>614</v>
      </c>
      <c r="D18" s="88" t="n">
        <v>1.05</v>
      </c>
      <c r="E18" s="88" t="n">
        <v>1.05</v>
      </c>
      <c r="F18" s="88" t="n">
        <v>1.05</v>
      </c>
      <c r="G18" s="79"/>
      <c r="H18" s="79"/>
      <c r="I18" s="79"/>
      <c r="J18" s="79"/>
      <c r="K18" s="79"/>
    </row>
    <row r="19" customFormat="false" ht="21" hidden="false" customHeight="true" outlineLevel="0" collapsed="false">
      <c r="C19" s="74" t="s">
        <v>615</v>
      </c>
      <c r="D19" s="88" t="n">
        <v>1</v>
      </c>
      <c r="E19" s="88" t="n">
        <v>1</v>
      </c>
      <c r="F19" s="88" t="n">
        <v>1</v>
      </c>
      <c r="G19" s="79"/>
      <c r="H19" s="79"/>
      <c r="I19" s="79"/>
      <c r="J19" s="79"/>
      <c r="K19" s="79"/>
    </row>
    <row r="20" customFormat="false" ht="21" hidden="false" customHeight="true" outlineLevel="0" collapsed="false">
      <c r="C20" s="74" t="s">
        <v>616</v>
      </c>
      <c r="D20" s="88" t="n">
        <v>1</v>
      </c>
      <c r="E20" s="88" t="n">
        <v>1</v>
      </c>
      <c r="F20" s="88" t="n">
        <v>1</v>
      </c>
      <c r="G20" s="79"/>
      <c r="H20" s="79"/>
      <c r="I20" s="79"/>
      <c r="J20" s="79"/>
      <c r="K20" s="79"/>
    </row>
    <row r="21" customFormat="false" ht="21" hidden="false" customHeight="true" outlineLevel="0" collapsed="false">
      <c r="C21" s="74"/>
      <c r="D21" s="79"/>
      <c r="E21" s="79"/>
      <c r="F21" s="79"/>
      <c r="G21" s="79"/>
      <c r="H21" s="79"/>
      <c r="I21" s="79"/>
      <c r="J21" s="79"/>
      <c r="K21" s="79"/>
    </row>
    <row r="22" customFormat="false" ht="21" hidden="false" customHeight="true" outlineLevel="0" collapsed="false">
      <c r="C22" s="86" t="s">
        <v>619</v>
      </c>
      <c r="D22" s="87" t="n">
        <f aca="false">IF($D$3="Conservative",D23,IF($D$3="Growth",D25,D24))</f>
        <v>1</v>
      </c>
      <c r="E22" s="87" t="n">
        <f aca="false">IF($D$3="Conservative",E23,IF($D$3="Growth",E25,E24))</f>
        <v>1</v>
      </c>
      <c r="F22" s="87" t="n">
        <f aca="false">IF($D$3="Conservative",F23,IF($D$3="Growth",F25,F24))</f>
        <v>1</v>
      </c>
      <c r="G22" s="79"/>
      <c r="H22" s="79"/>
      <c r="I22" s="79"/>
      <c r="J22" s="79"/>
      <c r="K22" s="79"/>
    </row>
    <row r="23" customFormat="false" ht="21" hidden="false" customHeight="true" outlineLevel="0" collapsed="false">
      <c r="C23" s="74" t="s">
        <v>614</v>
      </c>
      <c r="D23" s="88" t="n">
        <v>1</v>
      </c>
      <c r="E23" s="88" t="n">
        <v>1</v>
      </c>
      <c r="F23" s="88" t="n">
        <v>1</v>
      </c>
      <c r="G23" s="79"/>
      <c r="H23" s="79"/>
      <c r="I23" s="79"/>
      <c r="J23" s="79"/>
      <c r="K23" s="79"/>
    </row>
    <row r="24" customFormat="false" ht="21" hidden="false" customHeight="true" outlineLevel="0" collapsed="false">
      <c r="C24" s="74" t="s">
        <v>615</v>
      </c>
      <c r="D24" s="88" t="n">
        <v>1</v>
      </c>
      <c r="E24" s="88" t="n">
        <v>1</v>
      </c>
      <c r="F24" s="88" t="n">
        <v>1</v>
      </c>
      <c r="G24" s="79"/>
      <c r="H24" s="79"/>
      <c r="I24" s="79"/>
      <c r="J24" s="79"/>
      <c r="K24" s="79"/>
    </row>
    <row r="25" customFormat="false" ht="21" hidden="false" customHeight="true" outlineLevel="0" collapsed="false">
      <c r="C25" s="74" t="s">
        <v>616</v>
      </c>
      <c r="D25" s="88" t="n">
        <v>1.05</v>
      </c>
      <c r="E25" s="88" t="n">
        <v>1.08</v>
      </c>
      <c r="F25" s="88" t="n">
        <v>1.1</v>
      </c>
      <c r="G25" s="79"/>
      <c r="H25" s="79"/>
      <c r="I25" s="79"/>
      <c r="J25" s="79"/>
      <c r="K25" s="79"/>
    </row>
    <row r="26" customFormat="false" ht="21" hidden="false" customHeight="true" outlineLevel="0" collapsed="false">
      <c r="C26" s="74"/>
      <c r="D26" s="79"/>
      <c r="E26" s="79"/>
      <c r="F26" s="79"/>
      <c r="G26" s="79"/>
      <c r="H26" s="79"/>
      <c r="I26" s="79"/>
      <c r="J26" s="79"/>
      <c r="K26" s="79"/>
    </row>
    <row r="27" customFormat="false" ht="21" hidden="false" customHeight="true" outlineLevel="0" collapsed="false">
      <c r="C27" s="86" t="s">
        <v>620</v>
      </c>
      <c r="D27" s="87" t="n">
        <f aca="false">IF($D$3="Conservative",D28,IF($D$3="Growth",D30,D29))</f>
        <v>1</v>
      </c>
      <c r="E27" s="87" t="n">
        <f aca="false">IF($D$3="Conservative",E28,IF($D$3="Growth",E30,E29))</f>
        <v>1</v>
      </c>
      <c r="F27" s="87" t="n">
        <f aca="false">IF($D$3="Conservative",F28,IF($D$3="Growth",F30,F29))</f>
        <v>1</v>
      </c>
      <c r="G27" s="79"/>
      <c r="H27" s="79"/>
      <c r="I27" s="79"/>
      <c r="J27" s="79"/>
      <c r="K27" s="79"/>
    </row>
    <row r="28" customFormat="false" ht="21" hidden="false" customHeight="true" outlineLevel="0" collapsed="false">
      <c r="C28" s="74" t="s">
        <v>614</v>
      </c>
      <c r="D28" s="88" t="n">
        <v>1</v>
      </c>
      <c r="E28" s="88" t="n">
        <v>1</v>
      </c>
      <c r="F28" s="88" t="n">
        <v>1</v>
      </c>
      <c r="G28" s="79"/>
      <c r="H28" s="79"/>
      <c r="I28" s="79"/>
      <c r="J28" s="79"/>
      <c r="K28" s="79"/>
    </row>
    <row r="29" customFormat="false" ht="21" hidden="false" customHeight="true" outlineLevel="0" collapsed="false">
      <c r="C29" s="74" t="s">
        <v>615</v>
      </c>
      <c r="D29" s="88" t="n">
        <v>1</v>
      </c>
      <c r="E29" s="88" t="n">
        <v>1</v>
      </c>
      <c r="F29" s="88" t="n">
        <v>1</v>
      </c>
      <c r="G29" s="79"/>
      <c r="H29" s="79"/>
      <c r="I29" s="79"/>
      <c r="J29" s="79"/>
      <c r="K29" s="79"/>
    </row>
    <row r="30" customFormat="false" ht="21" hidden="false" customHeight="true" outlineLevel="0" collapsed="false">
      <c r="C30" s="74" t="s">
        <v>616</v>
      </c>
      <c r="D30" s="88" t="n">
        <v>1</v>
      </c>
      <c r="E30" s="88" t="n">
        <v>1</v>
      </c>
      <c r="F30" s="88" t="n">
        <v>1</v>
      </c>
      <c r="G30" s="79"/>
      <c r="H30" s="79"/>
      <c r="I30" s="79"/>
      <c r="J30" s="79"/>
      <c r="K30" s="79"/>
    </row>
    <row r="31" customFormat="false" ht="21" hidden="false" customHeight="true" outlineLevel="0" collapsed="false">
      <c r="C31" s="74"/>
      <c r="D31" s="79"/>
      <c r="E31" s="79"/>
      <c r="F31" s="79"/>
      <c r="G31" s="79"/>
      <c r="H31" s="79"/>
      <c r="I31" s="79"/>
      <c r="J31" s="79"/>
      <c r="K31" s="79"/>
    </row>
    <row r="32" customFormat="false" ht="21" hidden="false" customHeight="true" outlineLevel="0" collapsed="false">
      <c r="C32" s="74" t="s">
        <v>621</v>
      </c>
      <c r="D32" s="89" t="n">
        <v>1</v>
      </c>
      <c r="E32" s="89" t="n">
        <v>1.1</v>
      </c>
      <c r="F32" s="89" t="n">
        <v>1.188</v>
      </c>
      <c r="G32" s="79" t="s">
        <v>622</v>
      </c>
      <c r="H32" s="79"/>
      <c r="I32" s="79"/>
      <c r="J32" s="79"/>
      <c r="K32" s="79"/>
    </row>
    <row r="33" customFormat="false" ht="21" hidden="false" customHeight="true" outlineLevel="0" collapsed="false">
      <c r="C33" s="74" t="s">
        <v>623</v>
      </c>
      <c r="D33" s="89" t="n">
        <v>1</v>
      </c>
      <c r="E33" s="89" t="n">
        <v>1.03</v>
      </c>
      <c r="F33" s="89" t="n">
        <v>1.0609</v>
      </c>
      <c r="G33" s="79" t="s">
        <v>624</v>
      </c>
      <c r="H33" s="79"/>
      <c r="I33" s="79"/>
      <c r="J33" s="79"/>
      <c r="K33" s="79"/>
    </row>
    <row r="34" customFormat="false" ht="21" hidden="false" customHeight="true" outlineLevel="0" collapsed="false">
      <c r="C34" s="74" t="s">
        <v>625</v>
      </c>
      <c r="D34" s="89" t="n">
        <v>1</v>
      </c>
      <c r="E34" s="89" t="n">
        <v>1.05</v>
      </c>
      <c r="F34" s="89" t="n">
        <v>1.1025</v>
      </c>
      <c r="G34" s="79" t="s">
        <v>626</v>
      </c>
      <c r="H34" s="79"/>
      <c r="I34" s="79"/>
      <c r="J34" s="79"/>
      <c r="K34" s="79"/>
    </row>
    <row r="35" customFormat="false" ht="21" hidden="false" customHeight="true" outlineLevel="0" collapsed="false">
      <c r="C35" s="74" t="s">
        <v>627</v>
      </c>
      <c r="D35" s="89" t="n">
        <v>1</v>
      </c>
      <c r="E35" s="89" t="n">
        <v>1.04</v>
      </c>
      <c r="F35" s="89" t="n">
        <v>1.0816</v>
      </c>
      <c r="G35" s="79" t="s">
        <v>628</v>
      </c>
      <c r="H35" s="79"/>
      <c r="I35" s="79"/>
      <c r="J35" s="79"/>
      <c r="K35" s="79"/>
    </row>
    <row r="36" customFormat="false" ht="21" hidden="false" customHeight="true" outlineLevel="0" collapsed="false">
      <c r="C36" s="74"/>
      <c r="D36" s="79"/>
      <c r="E36" s="79"/>
      <c r="F36" s="79"/>
      <c r="G36" s="79"/>
      <c r="H36" s="79"/>
      <c r="I36" s="79"/>
      <c r="J36" s="79"/>
      <c r="K36" s="79"/>
    </row>
    <row r="37" customFormat="false" ht="21" hidden="false" customHeight="true" outlineLevel="0" collapsed="false">
      <c r="C37" s="74"/>
      <c r="D37" s="79"/>
      <c r="E37" s="79"/>
      <c r="F37" s="79"/>
      <c r="G37" s="79"/>
      <c r="H37" s="79"/>
      <c r="I37" s="79"/>
      <c r="J37" s="79"/>
      <c r="K37" s="79"/>
    </row>
    <row r="38" customFormat="false" ht="33.75" hidden="false" customHeight="true" outlineLevel="0" collapsed="false">
      <c r="C38" s="78" t="s">
        <v>629</v>
      </c>
      <c r="D38" s="85" t="s">
        <v>630</v>
      </c>
      <c r="E38" s="85"/>
      <c r="F38" s="85" t="s">
        <v>612</v>
      </c>
      <c r="G38" s="79"/>
      <c r="H38" s="79"/>
      <c r="I38" s="79"/>
      <c r="J38" s="79"/>
      <c r="K38" s="79"/>
    </row>
    <row r="39" customFormat="false" ht="21" hidden="false" customHeight="true" outlineLevel="0" collapsed="false">
      <c r="C39" s="74" t="s">
        <v>631</v>
      </c>
      <c r="D39" s="90" t="n">
        <v>0.15</v>
      </c>
      <c r="E39" s="79"/>
      <c r="F39" s="79"/>
      <c r="G39" s="79" t="s">
        <v>632</v>
      </c>
      <c r="H39" s="79"/>
      <c r="I39" s="79"/>
      <c r="J39" s="79"/>
      <c r="K39" s="79"/>
    </row>
    <row r="40" customFormat="false" ht="21" hidden="false" customHeight="true" outlineLevel="0" collapsed="false">
      <c r="C40" s="74" t="s">
        <v>633</v>
      </c>
      <c r="D40" s="80" t="n">
        <v>7000</v>
      </c>
      <c r="E40" s="79"/>
      <c r="F40" s="79"/>
      <c r="G40" s="79" t="s">
        <v>634</v>
      </c>
      <c r="H40" s="79"/>
      <c r="I40" s="79"/>
      <c r="J40" s="79"/>
      <c r="K40" s="79"/>
    </row>
    <row r="41" customFormat="false" ht="21" hidden="false" customHeight="true" outlineLevel="0" collapsed="false">
      <c r="C41" s="74" t="s">
        <v>635</v>
      </c>
      <c r="D41" s="80" t="n">
        <v>4500</v>
      </c>
      <c r="E41" s="79"/>
      <c r="F41" s="79"/>
      <c r="G41" s="79" t="s">
        <v>636</v>
      </c>
      <c r="H41" s="79"/>
      <c r="I41" s="79"/>
      <c r="J41" s="79"/>
      <c r="K41" s="79"/>
    </row>
    <row r="42" customFormat="false" ht="21" hidden="false" customHeight="true" outlineLevel="0" collapsed="false">
      <c r="C42" s="74" t="s">
        <v>637</v>
      </c>
      <c r="D42" s="80" t="n">
        <v>4200</v>
      </c>
      <c r="E42" s="79"/>
      <c r="F42" s="79"/>
      <c r="G42" s="79" t="s">
        <v>638</v>
      </c>
      <c r="H42" s="79"/>
      <c r="I42" s="79"/>
      <c r="J42" s="79"/>
      <c r="K42" s="79"/>
    </row>
    <row r="43" customFormat="false" ht="21" hidden="false" customHeight="true" outlineLevel="0" collapsed="false">
      <c r="C43" s="74" t="s">
        <v>639</v>
      </c>
      <c r="D43" s="80" t="n">
        <v>2800</v>
      </c>
      <c r="E43" s="79"/>
      <c r="F43" s="79"/>
      <c r="G43" s="79" t="s">
        <v>638</v>
      </c>
      <c r="H43" s="79"/>
      <c r="I43" s="79"/>
      <c r="J43" s="79"/>
      <c r="K43" s="79"/>
    </row>
    <row r="44" customFormat="false" ht="21" hidden="false" customHeight="true" outlineLevel="0" collapsed="false">
      <c r="C44" s="74" t="s">
        <v>640</v>
      </c>
      <c r="D44" s="90" t="n">
        <v>0.18</v>
      </c>
      <c r="E44" s="79"/>
      <c r="F44" s="79"/>
      <c r="G44" s="79" t="s">
        <v>641</v>
      </c>
      <c r="H44" s="79"/>
      <c r="I44" s="79"/>
      <c r="J44" s="79"/>
      <c r="K44" s="79"/>
    </row>
    <row r="45" customFormat="false" ht="21" hidden="false" customHeight="true" outlineLevel="0" collapsed="false">
      <c r="C45" s="74" t="s">
        <v>642</v>
      </c>
      <c r="D45" s="80" t="n">
        <v>15000</v>
      </c>
      <c r="E45" s="79"/>
      <c r="F45" s="79"/>
      <c r="G45" s="79" t="s">
        <v>643</v>
      </c>
      <c r="H45" s="79"/>
      <c r="I45" s="79"/>
      <c r="J45" s="79"/>
      <c r="K45" s="79"/>
    </row>
    <row r="46" customFormat="false" ht="21" hidden="false" customHeight="true" outlineLevel="0" collapsed="false">
      <c r="C46" s="74" t="s">
        <v>644</v>
      </c>
      <c r="D46" s="80" t="n">
        <v>4000</v>
      </c>
      <c r="E46" s="79"/>
      <c r="F46" s="79"/>
      <c r="G46" s="79" t="s">
        <v>645</v>
      </c>
      <c r="H46" s="79"/>
      <c r="I46" s="79"/>
      <c r="J46" s="79"/>
      <c r="K46" s="79"/>
    </row>
    <row r="47" customFormat="false" ht="21" hidden="false" customHeight="true" outlineLevel="0" collapsed="false">
      <c r="C47" s="74" t="s">
        <v>646</v>
      </c>
      <c r="D47" s="91" t="n">
        <f aca="false">D44</f>
        <v>0.18</v>
      </c>
      <c r="E47" s="79"/>
      <c r="F47" s="79"/>
      <c r="G47" s="79" t="s">
        <v>647</v>
      </c>
      <c r="H47" s="79"/>
      <c r="I47" s="79"/>
      <c r="J47" s="79"/>
      <c r="K47" s="79"/>
    </row>
    <row r="48" customFormat="false" ht="21" hidden="false" customHeight="true" outlineLevel="0" collapsed="false">
      <c r="C48" s="74" t="s">
        <v>648</v>
      </c>
      <c r="D48" s="92" t="n">
        <v>15</v>
      </c>
      <c r="E48" s="79"/>
      <c r="F48" s="79"/>
      <c r="G48" s="79" t="s">
        <v>649</v>
      </c>
      <c r="H48" s="79"/>
      <c r="I48" s="79"/>
      <c r="J48" s="79"/>
      <c r="K48" s="79"/>
    </row>
    <row r="49" customFormat="false" ht="21" hidden="false" customHeight="true" outlineLevel="0" collapsed="false">
      <c r="C49" s="74" t="s">
        <v>650</v>
      </c>
      <c r="D49" s="92" t="n">
        <v>30</v>
      </c>
      <c r="E49" s="79"/>
      <c r="F49" s="79"/>
      <c r="G49" s="79" t="s">
        <v>651</v>
      </c>
      <c r="H49" s="79"/>
      <c r="I49" s="79"/>
      <c r="J49" s="79"/>
      <c r="K49" s="79"/>
    </row>
    <row r="50" customFormat="false" ht="21" hidden="false" customHeight="true" outlineLevel="0" collapsed="false">
      <c r="C50" s="74" t="s">
        <v>652</v>
      </c>
      <c r="D50" s="92" t="n">
        <v>100</v>
      </c>
      <c r="E50" s="79"/>
      <c r="F50" s="79"/>
      <c r="G50" s="79" t="s">
        <v>653</v>
      </c>
      <c r="H50" s="79"/>
      <c r="I50" s="79"/>
      <c r="J50" s="79"/>
      <c r="K50" s="79"/>
    </row>
    <row r="51" customFormat="false" ht="21" hidden="false" customHeight="true" outlineLevel="0" collapsed="false">
      <c r="C51" s="74" t="s">
        <v>654</v>
      </c>
      <c r="D51" s="80" t="n">
        <v>80000</v>
      </c>
      <c r="E51" s="79"/>
      <c r="F51" s="79"/>
      <c r="G51" s="79" t="s">
        <v>655</v>
      </c>
      <c r="H51" s="79"/>
      <c r="I51" s="79"/>
      <c r="J51" s="79"/>
      <c r="K51" s="79"/>
    </row>
    <row r="52" customFormat="false" ht="21" hidden="false" customHeight="true" outlineLevel="0" collapsed="false">
      <c r="C52" s="74" t="s">
        <v>656</v>
      </c>
      <c r="D52" s="90" t="n">
        <f aca="false">1-D53</f>
        <v>0.6</v>
      </c>
      <c r="E52" s="79"/>
      <c r="F52" s="79"/>
      <c r="G52" s="79" t="s">
        <v>657</v>
      </c>
      <c r="H52" s="79"/>
      <c r="I52" s="79"/>
      <c r="J52" s="79"/>
      <c r="K52" s="79"/>
    </row>
    <row r="53" customFormat="false" ht="21" hidden="false" customHeight="true" outlineLevel="0" collapsed="false">
      <c r="C53" s="74" t="s">
        <v>658</v>
      </c>
      <c r="D53" s="90" t="n">
        <f aca="false">Terms!D23</f>
        <v>0.4</v>
      </c>
      <c r="E53" s="79"/>
      <c r="F53" s="79"/>
      <c r="G53" s="79" t="s">
        <v>659</v>
      </c>
      <c r="H53" s="79"/>
      <c r="I53" s="79"/>
      <c r="J53" s="79"/>
      <c r="K53" s="79"/>
    </row>
    <row r="54" customFormat="false" ht="21" hidden="false" customHeight="true" outlineLevel="0" collapsed="false">
      <c r="C54" s="74" t="s">
        <v>660</v>
      </c>
      <c r="D54" s="90" t="n">
        <v>0.98</v>
      </c>
      <c r="E54" s="79"/>
      <c r="F54" s="79"/>
      <c r="G54" s="79" t="s">
        <v>661</v>
      </c>
      <c r="H54" s="79"/>
      <c r="I54" s="79"/>
      <c r="J54" s="79"/>
      <c r="K54" s="79"/>
    </row>
    <row r="55" customFormat="false" ht="21" hidden="false" customHeight="true" outlineLevel="0" collapsed="false">
      <c r="C55" s="74" t="s">
        <v>662</v>
      </c>
      <c r="D55" s="90" t="n">
        <v>0.8</v>
      </c>
      <c r="E55" s="79"/>
      <c r="F55" s="79"/>
      <c r="G55" s="79" t="s">
        <v>663</v>
      </c>
      <c r="H55" s="79"/>
      <c r="I55" s="79"/>
      <c r="J55" s="79"/>
      <c r="K55" s="79"/>
    </row>
    <row r="56" customFormat="false" ht="21" hidden="false" customHeight="true" outlineLevel="0" collapsed="false">
      <c r="C56" s="74" t="s">
        <v>664</v>
      </c>
      <c r="D56" s="80" t="n">
        <v>2</v>
      </c>
      <c r="E56" s="79"/>
      <c r="F56" s="79"/>
      <c r="G56" s="79" t="s">
        <v>665</v>
      </c>
      <c r="H56" s="79"/>
      <c r="I56" s="79"/>
      <c r="J56" s="79"/>
      <c r="K56" s="79"/>
    </row>
    <row r="57" customFormat="false" ht="21" hidden="false" customHeight="true" outlineLevel="0" collapsed="false">
      <c r="C57" s="74"/>
      <c r="D57" s="79"/>
      <c r="E57" s="79"/>
      <c r="F57" s="79"/>
      <c r="G57" s="79"/>
      <c r="H57" s="79"/>
      <c r="I57" s="79"/>
      <c r="J57" s="79"/>
      <c r="K57" s="79"/>
    </row>
    <row r="58" customFormat="false" ht="21" hidden="false" customHeight="true" outlineLevel="0" collapsed="false">
      <c r="C58" s="74" t="s">
        <v>666</v>
      </c>
      <c r="D58" s="93" t="n">
        <v>46296</v>
      </c>
      <c r="E58" s="79"/>
      <c r="F58" s="79"/>
      <c r="G58" s="79" t="s">
        <v>667</v>
      </c>
      <c r="H58" s="79"/>
      <c r="I58" s="79"/>
      <c r="J58" s="79"/>
      <c r="K58" s="79"/>
    </row>
    <row r="59" customFormat="false" ht="21" hidden="false" customHeight="true" outlineLevel="0" collapsed="false">
      <c r="C59" s="74" t="s">
        <v>668</v>
      </c>
      <c r="D59" s="80" t="n">
        <v>8000</v>
      </c>
      <c r="E59" s="79"/>
      <c r="F59" s="79"/>
      <c r="G59" s="79" t="s">
        <v>669</v>
      </c>
      <c r="H59" s="79"/>
      <c r="I59" s="79"/>
      <c r="J59" s="79"/>
      <c r="K59" s="79"/>
    </row>
    <row r="60" customFormat="false" ht="21" hidden="false" customHeight="true" outlineLevel="0" collapsed="false">
      <c r="C60" s="74"/>
      <c r="D60" s="79"/>
      <c r="E60" s="79"/>
      <c r="F60" s="79"/>
      <c r="G60" s="79"/>
      <c r="H60" s="79"/>
      <c r="I60" s="79"/>
      <c r="J60" s="79"/>
      <c r="K60" s="79"/>
    </row>
    <row r="61" customFormat="false" ht="21" hidden="false" customHeight="true" outlineLevel="0" collapsed="false">
      <c r="C61" s="74" t="s">
        <v>670</v>
      </c>
      <c r="D61" s="80" t="n">
        <v>50000</v>
      </c>
      <c r="E61" s="79"/>
      <c r="F61" s="79"/>
      <c r="G61" s="79" t="s">
        <v>671</v>
      </c>
      <c r="H61" s="79"/>
      <c r="I61" s="79"/>
      <c r="J61" s="79"/>
      <c r="K61" s="79"/>
    </row>
    <row r="62" customFormat="false" ht="21" hidden="false" customHeight="true" outlineLevel="0" collapsed="false">
      <c r="C62" s="74" t="s">
        <v>672</v>
      </c>
      <c r="D62" s="90" t="n">
        <v>0.6</v>
      </c>
      <c r="E62" s="79"/>
      <c r="F62" s="79"/>
      <c r="G62" s="79" t="s">
        <v>673</v>
      </c>
      <c r="H62" s="79"/>
      <c r="I62" s="79"/>
      <c r="J62" s="79"/>
      <c r="K62" s="79"/>
    </row>
    <row r="63" customFormat="false" ht="21" hidden="false" customHeight="true" outlineLevel="0" collapsed="false">
      <c r="C63" s="74" t="s">
        <v>674</v>
      </c>
      <c r="D63" s="90" t="n">
        <v>0.8</v>
      </c>
      <c r="E63" s="79"/>
      <c r="F63" s="79"/>
      <c r="G63" s="79" t="s">
        <v>675</v>
      </c>
      <c r="H63" s="79"/>
      <c r="I63" s="79"/>
      <c r="J63" s="79"/>
      <c r="K63" s="79"/>
    </row>
    <row r="64" customFormat="false" ht="21" hidden="false" customHeight="true" outlineLevel="0" collapsed="false">
      <c r="C64" s="74" t="s">
        <v>676</v>
      </c>
      <c r="D64" s="93" t="n">
        <v>46295</v>
      </c>
      <c r="E64" s="79"/>
      <c r="F64" s="79"/>
      <c r="G64" s="79" t="s">
        <v>677</v>
      </c>
      <c r="H64" s="79"/>
      <c r="I64" s="79"/>
      <c r="J64" s="79"/>
      <c r="K64" s="79"/>
    </row>
    <row r="65" customFormat="false" ht="21" hidden="false" customHeight="true" outlineLevel="0" collapsed="false">
      <c r="C65" s="74" t="s">
        <v>678</v>
      </c>
      <c r="D65" s="90" t="n">
        <v>0.6</v>
      </c>
      <c r="E65" s="79"/>
      <c r="F65" s="79"/>
      <c r="G65" s="79" t="s">
        <v>679</v>
      </c>
      <c r="H65" s="79"/>
      <c r="I65" s="79"/>
      <c r="J65" s="79"/>
      <c r="K65" s="79"/>
    </row>
    <row r="66" customFormat="false" ht="21" hidden="false" customHeight="true" outlineLevel="0" collapsed="false">
      <c r="C66" s="74" t="s">
        <v>680</v>
      </c>
      <c r="D66" s="80" t="n">
        <v>60</v>
      </c>
      <c r="E66" s="79"/>
      <c r="F66" s="79"/>
      <c r="G66" s="79" t="s">
        <v>681</v>
      </c>
      <c r="H66" s="79"/>
      <c r="I66" s="79"/>
      <c r="J66" s="79"/>
      <c r="K66" s="79"/>
    </row>
    <row r="67" customFormat="false" ht="21" hidden="false" customHeight="true" outlineLevel="0" collapsed="false">
      <c r="C67" s="74" t="s">
        <v>682</v>
      </c>
      <c r="D67" s="90" t="n">
        <v>0.02</v>
      </c>
      <c r="E67" s="79"/>
      <c r="F67" s="79"/>
      <c r="G67" s="79" t="s">
        <v>683</v>
      </c>
      <c r="H67" s="79"/>
      <c r="I67" s="79"/>
      <c r="J67" s="79"/>
      <c r="K67" s="79"/>
    </row>
    <row r="68" customFormat="false" ht="21" hidden="false" customHeight="true" outlineLevel="0" collapsed="false">
      <c r="C68" s="74" t="s">
        <v>684</v>
      </c>
      <c r="D68" s="92" t="n">
        <v>15</v>
      </c>
      <c r="E68" s="79"/>
      <c r="F68" s="79"/>
      <c r="G68" s="79" t="s">
        <v>685</v>
      </c>
      <c r="H68" s="79"/>
      <c r="I68" s="79"/>
      <c r="J68" s="79"/>
      <c r="K68" s="79"/>
    </row>
    <row r="69" customFormat="false" ht="21" hidden="false" customHeight="true" outlineLevel="0" collapsed="false">
      <c r="C69" s="74" t="s">
        <v>686</v>
      </c>
      <c r="D69" s="90" t="n">
        <v>0.03</v>
      </c>
      <c r="E69" s="79"/>
      <c r="F69" s="79"/>
      <c r="G69" s="79" t="s">
        <v>687</v>
      </c>
      <c r="H69" s="79"/>
      <c r="I69" s="79"/>
      <c r="J69" s="79"/>
      <c r="K69" s="79"/>
    </row>
    <row r="70" customFormat="false" ht="33.75" hidden="false" customHeight="true" outlineLevel="0" collapsed="false">
      <c r="C70" s="78" t="s">
        <v>688</v>
      </c>
      <c r="D70" s="85" t="s">
        <v>689</v>
      </c>
      <c r="E70" s="85" t="s">
        <v>690</v>
      </c>
      <c r="F70" s="85" t="s">
        <v>691</v>
      </c>
      <c r="G70" s="85" t="s">
        <v>692</v>
      </c>
      <c r="H70" s="79"/>
      <c r="I70" s="79"/>
      <c r="J70" s="79"/>
      <c r="K70" s="79"/>
    </row>
    <row r="71" customFormat="false" ht="21" hidden="false" customHeight="true" outlineLevel="0" collapsed="false">
      <c r="C71" s="74" t="s">
        <v>693</v>
      </c>
      <c r="D71" s="80" t="n">
        <v>8000</v>
      </c>
      <c r="E71" s="80" t="n">
        <v>10000</v>
      </c>
      <c r="F71" s="80" t="n">
        <v>12000</v>
      </c>
      <c r="G71" s="79" t="s">
        <v>694</v>
      </c>
      <c r="H71" s="79"/>
      <c r="I71" s="79"/>
      <c r="J71" s="79"/>
      <c r="K71" s="79"/>
    </row>
    <row r="72" customFormat="false" ht="21" hidden="false" customHeight="true" outlineLevel="0" collapsed="false">
      <c r="C72" s="74" t="s">
        <v>695</v>
      </c>
      <c r="D72" s="80" t="n">
        <v>8000</v>
      </c>
      <c r="E72" s="80" t="n">
        <v>10000</v>
      </c>
      <c r="F72" s="80" t="n">
        <v>13000</v>
      </c>
      <c r="G72" s="79" t="s">
        <v>696</v>
      </c>
      <c r="H72" s="79"/>
      <c r="I72" s="79"/>
      <c r="J72" s="79"/>
      <c r="K72" s="79"/>
    </row>
    <row r="73" customFormat="false" ht="21" hidden="false" customHeight="true" outlineLevel="0" collapsed="false">
      <c r="C73" s="74" t="s">
        <v>697</v>
      </c>
      <c r="D73" s="80" t="n">
        <v>5000</v>
      </c>
      <c r="E73" s="80" t="n">
        <v>6500</v>
      </c>
      <c r="F73" s="80" t="n">
        <v>8000</v>
      </c>
      <c r="G73" s="79" t="s">
        <v>698</v>
      </c>
      <c r="H73" s="79"/>
      <c r="I73" s="79"/>
      <c r="J73" s="79"/>
      <c r="K73" s="79"/>
    </row>
    <row r="74" customFormat="false" ht="21" hidden="false" customHeight="true" outlineLevel="0" collapsed="false">
      <c r="C74" s="74" t="s">
        <v>699</v>
      </c>
      <c r="D74" s="80" t="n">
        <v>2000</v>
      </c>
      <c r="E74" s="80" t="n">
        <v>2500</v>
      </c>
      <c r="F74" s="80" t="n">
        <v>3000</v>
      </c>
      <c r="G74" s="79" t="s">
        <v>700</v>
      </c>
      <c r="H74" s="79"/>
      <c r="I74" s="79"/>
      <c r="J74" s="79"/>
      <c r="K74" s="79"/>
    </row>
    <row r="75" customFormat="false" ht="21" hidden="false" customHeight="true" outlineLevel="0" collapsed="false">
      <c r="C75" s="74" t="s">
        <v>701</v>
      </c>
      <c r="D75" s="80" t="n">
        <v>2000</v>
      </c>
      <c r="E75" s="80" t="n">
        <v>2000</v>
      </c>
      <c r="F75" s="80" t="n">
        <v>2000</v>
      </c>
      <c r="G75" s="79" t="s">
        <v>49</v>
      </c>
      <c r="H75" s="79"/>
      <c r="I75" s="79"/>
      <c r="J75" s="79"/>
      <c r="K75" s="79"/>
    </row>
    <row r="76" customFormat="false" ht="21" hidden="false" customHeight="true" outlineLevel="0" collapsed="false">
      <c r="C76" s="86" t="s">
        <v>702</v>
      </c>
      <c r="D76" s="94" t="n">
        <f aca="false">SUM(D71:D75)</f>
        <v>25000</v>
      </c>
      <c r="E76" s="94" t="n">
        <f aca="false">SUM(E71:E75)</f>
        <v>31000</v>
      </c>
      <c r="F76" s="94" t="n">
        <f aca="false">SUM(F71:F75)</f>
        <v>38000</v>
      </c>
      <c r="G76" s="79"/>
      <c r="H76" s="79"/>
      <c r="I76" s="79"/>
      <c r="J76" s="79"/>
      <c r="K76" s="79"/>
    </row>
    <row r="77" customFormat="false" ht="21" hidden="false" customHeight="true" outlineLevel="0" collapsed="false">
      <c r="C77" s="74"/>
      <c r="D77" s="79"/>
      <c r="E77" s="79"/>
      <c r="F77" s="79"/>
      <c r="G77" s="79"/>
      <c r="H77" s="79"/>
      <c r="I77" s="79"/>
      <c r="J77" s="79"/>
      <c r="K77" s="79"/>
    </row>
    <row r="78" customFormat="false" ht="21" hidden="false" customHeight="true" outlineLevel="0" collapsed="false">
      <c r="C78" s="74"/>
      <c r="D78" s="79"/>
      <c r="E78" s="79"/>
      <c r="F78" s="79"/>
      <c r="G78" s="79"/>
      <c r="H78" s="79"/>
      <c r="I78" s="79"/>
      <c r="J78" s="79"/>
      <c r="K78" s="79"/>
    </row>
    <row r="79" customFormat="false" ht="33.75" hidden="false" customHeight="true" outlineLevel="0" collapsed="false">
      <c r="C79" s="78" t="s">
        <v>703</v>
      </c>
      <c r="D79" s="85" t="s">
        <v>704</v>
      </c>
      <c r="E79" s="79"/>
      <c r="F79" s="79"/>
      <c r="G79" s="79"/>
      <c r="H79" s="79"/>
      <c r="I79" s="79"/>
      <c r="J79" s="79"/>
      <c r="K79" s="79"/>
    </row>
    <row r="80" customFormat="false" ht="21" hidden="false" customHeight="true" outlineLevel="0" collapsed="false">
      <c r="C80" s="74" t="n">
        <v>1</v>
      </c>
      <c r="D80" s="88" t="n">
        <v>1.05</v>
      </c>
      <c r="E80" s="79"/>
      <c r="F80" s="79"/>
      <c r="G80" s="79"/>
      <c r="H80" s="79"/>
      <c r="I80" s="79"/>
      <c r="J80" s="79"/>
      <c r="K80" s="79"/>
    </row>
    <row r="81" customFormat="false" ht="21" hidden="false" customHeight="true" outlineLevel="0" collapsed="false">
      <c r="C81" s="74" t="n">
        <v>2</v>
      </c>
      <c r="D81" s="88" t="n">
        <v>1</v>
      </c>
      <c r="E81" s="79"/>
      <c r="F81" s="79"/>
      <c r="G81" s="79"/>
      <c r="H81" s="79"/>
      <c r="I81" s="79"/>
      <c r="J81" s="79"/>
      <c r="K81" s="79"/>
    </row>
    <row r="82" customFormat="false" ht="21" hidden="false" customHeight="true" outlineLevel="0" collapsed="false">
      <c r="C82" s="74" t="n">
        <v>3</v>
      </c>
      <c r="D82" s="88" t="n">
        <v>1.1</v>
      </c>
      <c r="E82" s="79"/>
      <c r="F82" s="79"/>
      <c r="G82" s="79"/>
      <c r="H82" s="79"/>
      <c r="I82" s="79"/>
      <c r="J82" s="79"/>
      <c r="K82" s="79"/>
    </row>
    <row r="83" customFormat="false" ht="21" hidden="false" customHeight="true" outlineLevel="0" collapsed="false">
      <c r="C83" s="74" t="n">
        <v>4</v>
      </c>
      <c r="D83" s="88" t="n">
        <v>1.05</v>
      </c>
      <c r="E83" s="79"/>
      <c r="F83" s="79"/>
      <c r="G83" s="79"/>
      <c r="H83" s="79"/>
      <c r="I83" s="79"/>
      <c r="J83" s="79"/>
      <c r="K83" s="79"/>
    </row>
    <row r="84" customFormat="false" ht="21" hidden="false" customHeight="true" outlineLevel="0" collapsed="false">
      <c r="C84" s="74" t="n">
        <v>5</v>
      </c>
      <c r="D84" s="88" t="n">
        <v>1</v>
      </c>
      <c r="E84" s="79"/>
      <c r="F84" s="79"/>
      <c r="G84" s="79"/>
      <c r="H84" s="79"/>
      <c r="I84" s="79"/>
      <c r="J84" s="79"/>
      <c r="K84" s="79"/>
    </row>
    <row r="85" customFormat="false" ht="21" hidden="false" customHeight="true" outlineLevel="0" collapsed="false">
      <c r="C85" s="74" t="n">
        <v>6</v>
      </c>
      <c r="D85" s="88" t="n">
        <v>0.8</v>
      </c>
      <c r="E85" s="79"/>
      <c r="F85" s="79"/>
      <c r="G85" s="79"/>
      <c r="H85" s="79"/>
      <c r="I85" s="79"/>
      <c r="J85" s="79"/>
      <c r="K85" s="79"/>
    </row>
    <row r="86" customFormat="false" ht="21" hidden="false" customHeight="true" outlineLevel="0" collapsed="false">
      <c r="C86" s="74" t="n">
        <v>7</v>
      </c>
      <c r="D86" s="88" t="n">
        <v>0.8</v>
      </c>
      <c r="E86" s="79"/>
      <c r="F86" s="79"/>
      <c r="G86" s="79"/>
      <c r="H86" s="79"/>
      <c r="I86" s="79"/>
      <c r="J86" s="79"/>
      <c r="K86" s="79"/>
    </row>
    <row r="87" customFormat="false" ht="21" hidden="false" customHeight="true" outlineLevel="0" collapsed="false">
      <c r="C87" s="74" t="n">
        <v>8</v>
      </c>
      <c r="D87" s="88" t="n">
        <v>0.9</v>
      </c>
      <c r="E87" s="79"/>
      <c r="F87" s="79"/>
      <c r="G87" s="79"/>
      <c r="H87" s="79"/>
      <c r="I87" s="79"/>
      <c r="J87" s="79"/>
      <c r="K87" s="79"/>
    </row>
    <row r="88" customFormat="false" ht="21" hidden="false" customHeight="true" outlineLevel="0" collapsed="false">
      <c r="C88" s="74" t="n">
        <v>9</v>
      </c>
      <c r="D88" s="88" t="n">
        <v>1</v>
      </c>
      <c r="E88" s="79"/>
      <c r="F88" s="79"/>
      <c r="G88" s="79"/>
      <c r="H88" s="79"/>
      <c r="I88" s="79"/>
      <c r="J88" s="79"/>
      <c r="K88" s="79"/>
    </row>
    <row r="89" customFormat="false" ht="21" hidden="false" customHeight="true" outlineLevel="0" collapsed="false">
      <c r="C89" s="74" t="n">
        <v>10</v>
      </c>
      <c r="D89" s="88" t="n">
        <v>1.05</v>
      </c>
      <c r="E89" s="79"/>
      <c r="F89" s="79"/>
      <c r="G89" s="79"/>
      <c r="H89" s="79"/>
      <c r="I89" s="79"/>
      <c r="J89" s="79"/>
      <c r="K89" s="79"/>
    </row>
    <row r="90" customFormat="false" ht="21" hidden="false" customHeight="true" outlineLevel="0" collapsed="false">
      <c r="C90" s="74" t="n">
        <v>11</v>
      </c>
      <c r="D90" s="88" t="n">
        <v>1.1</v>
      </c>
      <c r="E90" s="79"/>
      <c r="F90" s="79"/>
      <c r="G90" s="79"/>
      <c r="H90" s="79"/>
      <c r="I90" s="79"/>
      <c r="J90" s="79"/>
      <c r="K90" s="79"/>
    </row>
    <row r="91" customFormat="false" ht="21" hidden="false" customHeight="true" outlineLevel="0" collapsed="false">
      <c r="C91" s="74" t="n">
        <v>12</v>
      </c>
      <c r="D91" s="88" t="n">
        <v>1.15</v>
      </c>
      <c r="E91" s="79"/>
      <c r="F91" s="79"/>
      <c r="G91" s="79"/>
      <c r="H91" s="79"/>
      <c r="I91" s="79"/>
      <c r="J91" s="79"/>
      <c r="K91" s="79"/>
    </row>
    <row r="92" customFormat="false" ht="21" hidden="false" customHeight="true" outlineLevel="0" collapsed="false">
      <c r="C92" s="74"/>
      <c r="D92" s="79"/>
      <c r="E92" s="79"/>
      <c r="F92" s="79"/>
      <c r="G92" s="79"/>
      <c r="H92" s="79"/>
      <c r="I92" s="79"/>
      <c r="J92" s="79"/>
      <c r="K92" s="79"/>
    </row>
    <row r="93" customFormat="false" ht="21" hidden="false" customHeight="true" outlineLevel="0" collapsed="false">
      <c r="C93" s="74"/>
      <c r="D93" s="79"/>
      <c r="E93" s="79"/>
      <c r="F93" s="79"/>
      <c r="G93" s="79"/>
      <c r="H93" s="79"/>
      <c r="I93" s="79"/>
      <c r="J93" s="79"/>
      <c r="K93" s="79"/>
    </row>
    <row r="94" customFormat="false" ht="33.75" hidden="false" customHeight="true" outlineLevel="0" collapsed="false">
      <c r="C94" s="78" t="s">
        <v>705</v>
      </c>
      <c r="D94" s="85" t="s">
        <v>706</v>
      </c>
      <c r="E94" s="85" t="s">
        <v>707</v>
      </c>
      <c r="F94" s="85" t="s">
        <v>708</v>
      </c>
      <c r="G94" s="79"/>
      <c r="H94" s="79"/>
      <c r="I94" s="79"/>
      <c r="J94" s="79"/>
      <c r="K94" s="79"/>
    </row>
    <row r="95" customFormat="false" ht="21" hidden="false" customHeight="true" outlineLevel="0" collapsed="false">
      <c r="C95" s="74" t="n">
        <v>1</v>
      </c>
      <c r="D95" s="95" t="n">
        <v>0</v>
      </c>
      <c r="E95" s="95" t="n">
        <v>1</v>
      </c>
      <c r="F95" s="95" t="n">
        <v>1</v>
      </c>
      <c r="G95" s="79"/>
      <c r="H95" s="79"/>
      <c r="I95" s="79"/>
      <c r="J95" s="79"/>
      <c r="K95" s="79"/>
    </row>
    <row r="96" customFormat="false" ht="21" hidden="false" customHeight="true" outlineLevel="0" collapsed="false">
      <c r="C96" s="74" t="n">
        <v>2</v>
      </c>
      <c r="D96" s="95" t="n">
        <v>0.25</v>
      </c>
      <c r="E96" s="95" t="n">
        <v>1</v>
      </c>
      <c r="F96" s="95" t="n">
        <v>1</v>
      </c>
      <c r="G96" s="79"/>
      <c r="H96" s="79"/>
      <c r="I96" s="79"/>
      <c r="J96" s="79"/>
      <c r="K96" s="79"/>
    </row>
    <row r="97" customFormat="false" ht="21" hidden="false" customHeight="true" outlineLevel="0" collapsed="false">
      <c r="C97" s="74" t="n">
        <v>3</v>
      </c>
      <c r="D97" s="95" t="n">
        <v>0.5</v>
      </c>
      <c r="E97" s="95" t="n">
        <v>1</v>
      </c>
      <c r="F97" s="95" t="n">
        <v>1</v>
      </c>
      <c r="G97" s="79"/>
      <c r="H97" s="79"/>
      <c r="I97" s="79"/>
      <c r="J97" s="79"/>
      <c r="K97" s="79"/>
    </row>
    <row r="98" customFormat="false" ht="21" hidden="false" customHeight="true" outlineLevel="0" collapsed="false">
      <c r="C98" s="74" t="n">
        <v>4</v>
      </c>
      <c r="D98" s="95" t="n">
        <v>0.75</v>
      </c>
      <c r="E98" s="95" t="n">
        <v>1</v>
      </c>
      <c r="F98" s="95" t="n">
        <v>1</v>
      </c>
      <c r="G98" s="79"/>
      <c r="H98" s="79"/>
      <c r="I98" s="79"/>
      <c r="J98" s="79"/>
      <c r="K98" s="79"/>
    </row>
    <row r="99" customFormat="false" ht="21" hidden="false" customHeight="true" outlineLevel="0" collapsed="false">
      <c r="C99" s="74" t="n">
        <v>5</v>
      </c>
      <c r="D99" s="95" t="n">
        <v>1</v>
      </c>
      <c r="E99" s="95" t="n">
        <v>1</v>
      </c>
      <c r="F99" s="95" t="n">
        <v>1</v>
      </c>
      <c r="G99" s="79"/>
      <c r="H99" s="79"/>
      <c r="I99" s="79"/>
      <c r="J99" s="79"/>
      <c r="K99" s="79"/>
    </row>
    <row r="100" customFormat="false" ht="21" hidden="false" customHeight="true" outlineLevel="0" collapsed="false">
      <c r="C100" s="74" t="n">
        <v>6</v>
      </c>
      <c r="D100" s="95" t="n">
        <v>1</v>
      </c>
      <c r="E100" s="95" t="n">
        <v>1</v>
      </c>
      <c r="F100" s="95" t="n">
        <v>1</v>
      </c>
      <c r="G100" s="79"/>
      <c r="H100" s="79"/>
      <c r="I100" s="79"/>
      <c r="J100" s="79"/>
      <c r="K100" s="79"/>
    </row>
    <row r="101" customFormat="false" ht="21" hidden="false" customHeight="true" outlineLevel="0" collapsed="false">
      <c r="C101" s="74" t="n">
        <v>7</v>
      </c>
      <c r="D101" s="95" t="n">
        <v>1</v>
      </c>
      <c r="E101" s="95" t="n">
        <v>1</v>
      </c>
      <c r="F101" s="95" t="n">
        <v>1</v>
      </c>
      <c r="G101" s="79"/>
      <c r="H101" s="79"/>
      <c r="I101" s="79"/>
      <c r="J101" s="79"/>
      <c r="K101" s="79"/>
    </row>
    <row r="102" customFormat="false" ht="21" hidden="false" customHeight="true" outlineLevel="0" collapsed="false">
      <c r="C102" s="74" t="n">
        <v>8</v>
      </c>
      <c r="D102" s="95" t="n">
        <v>1</v>
      </c>
      <c r="E102" s="95" t="n">
        <v>1</v>
      </c>
      <c r="F102" s="95" t="n">
        <v>1</v>
      </c>
      <c r="G102" s="79"/>
      <c r="H102" s="79"/>
      <c r="I102" s="79"/>
      <c r="J102" s="79"/>
      <c r="K102" s="79"/>
    </row>
    <row r="103" customFormat="false" ht="21" hidden="false" customHeight="true" outlineLevel="0" collapsed="false">
      <c r="C103" s="74" t="n">
        <v>9</v>
      </c>
      <c r="D103" s="95" t="n">
        <v>1</v>
      </c>
      <c r="E103" s="95" t="n">
        <v>1</v>
      </c>
      <c r="F103" s="95" t="n">
        <v>1</v>
      </c>
      <c r="G103" s="79"/>
      <c r="H103" s="79"/>
      <c r="I103" s="79"/>
      <c r="J103" s="79"/>
      <c r="K103" s="79"/>
    </row>
    <row r="104" customFormat="false" ht="21" hidden="false" customHeight="true" outlineLevel="0" collapsed="false">
      <c r="C104" s="74" t="n">
        <v>10</v>
      </c>
      <c r="D104" s="95" t="n">
        <v>1</v>
      </c>
      <c r="E104" s="95" t="n">
        <v>1</v>
      </c>
      <c r="F104" s="95" t="n">
        <v>1</v>
      </c>
      <c r="G104" s="79"/>
      <c r="H104" s="79"/>
      <c r="I104" s="79"/>
      <c r="J104" s="79"/>
      <c r="K104" s="79"/>
    </row>
    <row r="105" customFormat="false" ht="21" hidden="false" customHeight="true" outlineLevel="0" collapsed="false">
      <c r="C105" s="74" t="n">
        <v>11</v>
      </c>
      <c r="D105" s="95" t="n">
        <v>1</v>
      </c>
      <c r="E105" s="95" t="n">
        <v>1</v>
      </c>
      <c r="F105" s="95" t="n">
        <v>1</v>
      </c>
      <c r="G105" s="79"/>
      <c r="H105" s="79"/>
      <c r="I105" s="79"/>
      <c r="J105" s="79"/>
      <c r="K105" s="79"/>
    </row>
    <row r="106" customFormat="false" ht="21" hidden="false" customHeight="true" outlineLevel="0" collapsed="false">
      <c r="C106" s="74" t="n">
        <v>12</v>
      </c>
      <c r="D106" s="95" t="n">
        <v>1</v>
      </c>
      <c r="E106" s="95" t="n">
        <v>1</v>
      </c>
      <c r="F106" s="95" t="n">
        <v>1</v>
      </c>
      <c r="G106" s="79"/>
      <c r="H106" s="79"/>
      <c r="I106" s="79"/>
      <c r="J106" s="79"/>
      <c r="K106" s="79"/>
    </row>
    <row r="107" customFormat="false" ht="21" hidden="false" customHeight="true" outlineLevel="0" collapsed="false">
      <c r="C107" s="74"/>
      <c r="D107" s="79"/>
      <c r="E107" s="79"/>
      <c r="F107" s="79"/>
      <c r="G107" s="79"/>
      <c r="H107" s="79"/>
      <c r="I107" s="79"/>
      <c r="J107" s="79"/>
      <c r="K107" s="79"/>
    </row>
    <row r="108" customFormat="false" ht="21" hidden="false" customHeight="true" outlineLevel="0" collapsed="false">
      <c r="C108" s="74"/>
      <c r="D108" s="79"/>
      <c r="E108" s="79"/>
      <c r="F108" s="79"/>
      <c r="G108" s="79"/>
      <c r="H108" s="79"/>
      <c r="I108" s="79"/>
      <c r="J108" s="79"/>
      <c r="K108" s="79"/>
    </row>
    <row r="109" customFormat="false" ht="21" hidden="false" customHeight="true" outlineLevel="0" collapsed="false">
      <c r="C109" s="96" t="s">
        <v>709</v>
      </c>
      <c r="D109" s="79"/>
      <c r="E109" s="79"/>
      <c r="F109" s="79"/>
      <c r="G109" s="79"/>
      <c r="H109" s="79"/>
      <c r="I109" s="79"/>
      <c r="J109" s="79"/>
      <c r="K109" s="79"/>
    </row>
    <row r="110" customFormat="false" ht="21" hidden="false" customHeight="true" outlineLevel="0" collapsed="false">
      <c r="C110" s="83" t="s">
        <v>710</v>
      </c>
      <c r="D110" s="79"/>
      <c r="E110" s="79"/>
      <c r="F110" s="79"/>
      <c r="G110" s="79"/>
      <c r="H110" s="79"/>
      <c r="I110" s="79"/>
      <c r="J110" s="79"/>
      <c r="K110" s="79"/>
    </row>
    <row r="111" customFormat="false" ht="21" hidden="false" customHeight="true" outlineLevel="0" collapsed="false">
      <c r="C111" s="83" t="s">
        <v>711</v>
      </c>
      <c r="D111" s="79"/>
      <c r="E111" s="79"/>
      <c r="F111" s="79"/>
      <c r="G111" s="79"/>
      <c r="H111" s="79"/>
      <c r="I111" s="79"/>
      <c r="J111" s="79"/>
      <c r="K111" s="79"/>
    </row>
    <row r="112" customFormat="false" ht="21" hidden="false" customHeight="true" outlineLevel="0" collapsed="false">
      <c r="C112" s="83" t="s">
        <v>712</v>
      </c>
      <c r="D112" s="79"/>
      <c r="E112" s="79"/>
      <c r="F112" s="79"/>
      <c r="G112" s="79"/>
      <c r="H112" s="79"/>
      <c r="I112" s="79"/>
      <c r="J112" s="79"/>
      <c r="K112" s="79"/>
    </row>
    <row r="113" customFormat="false" ht="21" hidden="false" customHeight="true" outlineLevel="0" collapsed="false">
      <c r="C113" s="74"/>
      <c r="D113" s="79"/>
      <c r="E113" s="79"/>
      <c r="F113" s="79"/>
      <c r="G113" s="79"/>
      <c r="H113" s="79"/>
      <c r="I113" s="79"/>
      <c r="J113" s="79"/>
      <c r="K113" s="79"/>
    </row>
    <row r="114" customFormat="false" ht="21" hidden="false" customHeight="true" outlineLevel="0" collapsed="false">
      <c r="C114" s="83" t="s">
        <v>713</v>
      </c>
      <c r="D114" s="79"/>
      <c r="E114" s="79"/>
      <c r="F114" s="79"/>
      <c r="G114" s="79"/>
      <c r="H114" s="79"/>
      <c r="I114" s="79"/>
      <c r="J114" s="79"/>
      <c r="K114" s="79"/>
    </row>
    <row r="115" customFormat="false" ht="21" hidden="false" customHeight="true" outlineLevel="0" collapsed="false">
      <c r="C115" s="74"/>
      <c r="D115" s="79"/>
      <c r="E115" s="79"/>
      <c r="F115" s="79"/>
      <c r="G115" s="79"/>
      <c r="H115" s="79"/>
      <c r="I115" s="79"/>
      <c r="J115" s="79"/>
      <c r="K115" s="79"/>
    </row>
    <row r="116" customFormat="false" ht="21" hidden="false" customHeight="true" outlineLevel="0" collapsed="false">
      <c r="C116" s="74"/>
      <c r="D116" s="79"/>
      <c r="E116" s="79"/>
      <c r="F116" s="79"/>
      <c r="G116" s="79"/>
      <c r="H116" s="79"/>
      <c r="I116" s="79"/>
      <c r="J116" s="79"/>
      <c r="K116" s="79"/>
    </row>
    <row r="119" customFormat="false" ht="39.75" hidden="false" customHeight="true" outlineLevel="0" collapsed="false">
      <c r="C119" s="97" t="s">
        <v>714</v>
      </c>
      <c r="D119" s="97" t="s">
        <v>715</v>
      </c>
      <c r="E119" s="97" t="s">
        <v>716</v>
      </c>
      <c r="F119" s="97" t="s">
        <v>717</v>
      </c>
      <c r="G119" s="97" t="s">
        <v>612</v>
      </c>
    </row>
    <row r="120" customFormat="false" ht="15" hidden="false" customHeight="false" outlineLevel="0" collapsed="false">
      <c r="C120" s="98" t="s">
        <v>718</v>
      </c>
      <c r="D120" s="99" t="n">
        <v>0.7</v>
      </c>
      <c r="E120" s="99" t="n">
        <v>0.7</v>
      </c>
      <c r="F120" s="99" t="n">
        <v>0.7</v>
      </c>
      <c r="G120" s="98" t="s">
        <v>719</v>
      </c>
    </row>
    <row r="121" customFormat="false" ht="15" hidden="false" customHeight="false" outlineLevel="0" collapsed="false">
      <c r="C121" s="98" t="s">
        <v>720</v>
      </c>
      <c r="D121" s="99" t="n">
        <v>0.2</v>
      </c>
      <c r="E121" s="99" t="n">
        <v>0.2</v>
      </c>
      <c r="F121" s="99" t="n">
        <v>0.2</v>
      </c>
      <c r="G121" s="98" t="s">
        <v>719</v>
      </c>
    </row>
    <row r="122" customFormat="false" ht="15" hidden="false" customHeight="false" outlineLevel="0" collapsed="false">
      <c r="C122" s="98" t="s">
        <v>721</v>
      </c>
      <c r="D122" s="100" t="n">
        <f aca="false">1-SUM(D120:D121)</f>
        <v>0.1</v>
      </c>
      <c r="E122" s="100" t="n">
        <f aca="false">1-SUM(E120:E121)</f>
        <v>0.1</v>
      </c>
      <c r="F122" s="100" t="n">
        <f aca="false">1-SUM(F120:F121)</f>
        <v>0.1</v>
      </c>
      <c r="G122" s="98" t="s">
        <v>722</v>
      </c>
    </row>
    <row r="123" customFormat="false" ht="15" hidden="false" customHeight="false" outlineLevel="0" collapsed="false">
      <c r="C123" s="98" t="s">
        <v>723</v>
      </c>
      <c r="D123" s="99" t="n">
        <v>0.7</v>
      </c>
      <c r="E123" s="99" t="n">
        <v>0.7</v>
      </c>
      <c r="F123" s="99" t="n">
        <v>0.7</v>
      </c>
      <c r="G123" s="98" t="s">
        <v>724</v>
      </c>
    </row>
    <row r="124" customFormat="false" ht="15" hidden="false" customHeight="false" outlineLevel="0" collapsed="false">
      <c r="C124" s="98" t="s">
        <v>725</v>
      </c>
      <c r="D124" s="100" t="n">
        <f aca="false">1-D123</f>
        <v>0.3</v>
      </c>
      <c r="E124" s="100" t="n">
        <f aca="false">1-E123</f>
        <v>0.3</v>
      </c>
      <c r="F124" s="100" t="n">
        <f aca="false">1-F123</f>
        <v>0.3</v>
      </c>
      <c r="G124" s="98" t="s">
        <v>726</v>
      </c>
    </row>
    <row r="125" customFormat="false" ht="15" hidden="false" customHeight="false" outlineLevel="0" collapsed="false">
      <c r="C125" s="98" t="s">
        <v>727</v>
      </c>
      <c r="D125" s="101" t="n">
        <f aca="false">$D$50</f>
        <v>100</v>
      </c>
      <c r="E125" s="101" t="n">
        <f aca="false">$D$50</f>
        <v>100</v>
      </c>
      <c r="F125" s="101" t="n">
        <f aca="false">$D$50</f>
        <v>100</v>
      </c>
      <c r="G125" s="98" t="s">
        <v>728</v>
      </c>
    </row>
    <row r="126" customFormat="false" ht="15" hidden="false" customHeight="false" outlineLevel="0" collapsed="false">
      <c r="C126" s="98" t="s">
        <v>729</v>
      </c>
      <c r="D126" s="102" t="n">
        <v>100</v>
      </c>
      <c r="E126" s="102" t="n">
        <v>100</v>
      </c>
      <c r="F126" s="102" t="n">
        <v>100</v>
      </c>
      <c r="G126" s="98" t="s">
        <v>730</v>
      </c>
    </row>
    <row r="127" customFormat="false" ht="15" hidden="false" customHeight="false" outlineLevel="0" collapsed="false">
      <c r="C127" s="98" t="s">
        <v>731</v>
      </c>
      <c r="D127" s="99" t="n">
        <v>1</v>
      </c>
      <c r="E127" s="99" t="n">
        <v>1</v>
      </c>
      <c r="F127" s="99" t="n">
        <v>1</v>
      </c>
      <c r="G127" s="98" t="s">
        <v>732</v>
      </c>
    </row>
    <row r="128" customFormat="false" ht="15" hidden="false" customHeight="false" outlineLevel="0" collapsed="false">
      <c r="C128" s="98" t="s">
        <v>733</v>
      </c>
      <c r="D128" s="99" t="n">
        <v>0.5</v>
      </c>
      <c r="E128" s="99" t="n">
        <v>0.5</v>
      </c>
      <c r="F128" s="99" t="n">
        <v>0.5</v>
      </c>
      <c r="G128" s="98" t="s">
        <v>734</v>
      </c>
    </row>
    <row r="129" customFormat="false" ht="15" hidden="false" customHeight="false" outlineLevel="0" collapsed="false">
      <c r="C129" s="98" t="s">
        <v>735</v>
      </c>
      <c r="D129" s="103" t="n">
        <v>0</v>
      </c>
      <c r="E129" s="103" t="n">
        <v>0</v>
      </c>
      <c r="F129" s="103" t="n">
        <v>0</v>
      </c>
      <c r="G129" s="98" t="s">
        <v>736</v>
      </c>
    </row>
    <row r="130" customFormat="false" ht="15" hidden="false" customHeight="false" outlineLevel="0" collapsed="false">
      <c r="C130" s="98" t="s">
        <v>737</v>
      </c>
      <c r="D130" s="102" t="n">
        <v>2</v>
      </c>
      <c r="E130" s="102" t="n">
        <v>2</v>
      </c>
      <c r="F130" s="102" t="n">
        <v>2</v>
      </c>
      <c r="G130" s="98" t="s">
        <v>738</v>
      </c>
    </row>
    <row r="131" customFormat="false" ht="15" hidden="false" customHeight="false" outlineLevel="0" collapsed="false">
      <c r="C131" s="98" t="s">
        <v>739</v>
      </c>
      <c r="D131" s="102" t="n">
        <v>3</v>
      </c>
      <c r="E131" s="102" t="n">
        <v>3</v>
      </c>
      <c r="F131" s="102" t="n">
        <v>3</v>
      </c>
      <c r="G131" s="98" t="s">
        <v>740</v>
      </c>
    </row>
    <row r="132" customFormat="false" ht="15" hidden="false" customHeight="false" outlineLevel="0" collapsed="false">
      <c r="C132" s="98"/>
      <c r="D132" s="98"/>
      <c r="E132" s="98"/>
      <c r="F132" s="98"/>
      <c r="G132" s="98"/>
    </row>
    <row r="133" customFormat="false" ht="15" hidden="false" customHeight="false" outlineLevel="0" collapsed="false">
      <c r="C133" s="104" t="s">
        <v>741</v>
      </c>
      <c r="D133" s="98"/>
      <c r="E133" s="98"/>
      <c r="F133" s="98"/>
      <c r="G133" s="98"/>
    </row>
    <row r="134" customFormat="false" ht="15" hidden="false" customHeight="false" outlineLevel="0" collapsed="false">
      <c r="C134" s="98"/>
      <c r="D134" s="98"/>
      <c r="E134" s="98"/>
      <c r="F134" s="98"/>
      <c r="G134" s="98"/>
    </row>
    <row r="135" customFormat="false" ht="39.75" hidden="false" customHeight="true" outlineLevel="0" collapsed="false">
      <c r="C135" s="97" t="s">
        <v>742</v>
      </c>
      <c r="D135" s="97" t="s">
        <v>743</v>
      </c>
      <c r="E135" s="97" t="s">
        <v>744</v>
      </c>
      <c r="F135" s="97" t="s">
        <v>745</v>
      </c>
      <c r="G135" s="98"/>
    </row>
    <row r="136" customFormat="false" ht="15" hidden="false" customHeight="false" outlineLevel="0" collapsed="false">
      <c r="C136" s="98" t="s">
        <v>746</v>
      </c>
      <c r="D136" s="105" t="n">
        <v>0.4</v>
      </c>
      <c r="E136" s="105" t="n">
        <v>0.4</v>
      </c>
      <c r="F136" s="98" t="n">
        <v>120</v>
      </c>
      <c r="G136" s="98"/>
    </row>
    <row r="137" customFormat="false" ht="15" hidden="false" customHeight="false" outlineLevel="0" collapsed="false">
      <c r="C137" s="98" t="s">
        <v>747</v>
      </c>
      <c r="D137" s="105" t="n">
        <v>0.25</v>
      </c>
      <c r="E137" s="105" t="n">
        <v>0.2</v>
      </c>
      <c r="F137" s="98" t="n">
        <v>120</v>
      </c>
      <c r="G137" s="98"/>
    </row>
    <row r="138" customFormat="false" ht="15" hidden="false" customHeight="false" outlineLevel="0" collapsed="false">
      <c r="C138" s="98" t="s">
        <v>748</v>
      </c>
      <c r="D138" s="105" t="n">
        <v>0.15</v>
      </c>
      <c r="E138" s="105" t="n">
        <v>0.15</v>
      </c>
      <c r="F138" s="98" t="n">
        <v>100</v>
      </c>
      <c r="G138" s="98"/>
    </row>
    <row r="139" customFormat="false" ht="15" hidden="false" customHeight="false" outlineLevel="0" collapsed="false">
      <c r="C139" s="98" t="s">
        <v>749</v>
      </c>
      <c r="D139" s="105" t="n">
        <v>0.1</v>
      </c>
      <c r="E139" s="105" t="n">
        <v>0.1</v>
      </c>
      <c r="F139" s="98" t="n">
        <v>100</v>
      </c>
      <c r="G139" s="98"/>
    </row>
    <row r="140" customFormat="false" ht="15" hidden="false" customHeight="false" outlineLevel="0" collapsed="false">
      <c r="C140" s="98" t="s">
        <v>750</v>
      </c>
      <c r="D140" s="105" t="n">
        <v>0.1</v>
      </c>
      <c r="E140" s="105" t="n">
        <v>0</v>
      </c>
      <c r="F140" s="98" t="n">
        <v>100</v>
      </c>
      <c r="G140" s="98"/>
    </row>
    <row r="141" customFormat="false" ht="15" hidden="false" customHeight="false" outlineLevel="0" collapsed="false">
      <c r="C141" s="98" t="s">
        <v>751</v>
      </c>
      <c r="D141" s="105" t="n">
        <v>0</v>
      </c>
      <c r="E141" s="105" t="n">
        <v>0.15</v>
      </c>
      <c r="F141" s="98" t="n">
        <v>120</v>
      </c>
      <c r="G141" s="98"/>
    </row>
    <row r="142" customFormat="false" ht="15" hidden="false" customHeight="false" outlineLevel="0" collapsed="false">
      <c r="C142" s="106" t="s">
        <v>752</v>
      </c>
      <c r="D142" s="107" t="n">
        <f aca="false">SUM(D136:D141)</f>
        <v>1</v>
      </c>
      <c r="E142" s="107" t="n">
        <f aca="false">SUM(E136:E141)</f>
        <v>1</v>
      </c>
      <c r="F142" s="106"/>
      <c r="G142" s="98"/>
    </row>
    <row r="143" customFormat="false" ht="15" hidden="false" customHeight="false" outlineLevel="0" collapsed="false">
      <c r="C143" s="98"/>
      <c r="D143" s="98"/>
      <c r="E143" s="98"/>
      <c r="F143" s="98"/>
      <c r="G143" s="98"/>
    </row>
    <row r="144" customFormat="false" ht="15" hidden="false" customHeight="false" outlineLevel="0" collapsed="false">
      <c r="C144" s="98"/>
      <c r="D144" s="98"/>
      <c r="E144" s="98"/>
      <c r="F144" s="98"/>
      <c r="G144" s="98"/>
    </row>
    <row r="145" customFormat="false" ht="39.75" hidden="false" customHeight="true" outlineLevel="0" collapsed="false">
      <c r="C145" s="97" t="s">
        <v>753</v>
      </c>
      <c r="D145" s="97" t="s">
        <v>754</v>
      </c>
      <c r="E145" s="97" t="s">
        <v>755</v>
      </c>
      <c r="F145" s="97" t="s">
        <v>756</v>
      </c>
      <c r="G145" s="98"/>
    </row>
    <row r="146" customFormat="false" ht="15" hidden="false" customHeight="false" outlineLevel="0" collapsed="false">
      <c r="C146" s="98" t="n">
        <v>0</v>
      </c>
      <c r="D146" s="105" t="n">
        <v>0</v>
      </c>
      <c r="E146" s="105" t="n">
        <v>0</v>
      </c>
      <c r="F146" s="105" t="n">
        <v>0</v>
      </c>
      <c r="G146" s="98"/>
    </row>
    <row r="147" customFormat="false" ht="15" hidden="false" customHeight="false" outlineLevel="0" collapsed="false">
      <c r="C147" s="98" t="n">
        <v>90</v>
      </c>
      <c r="D147" s="105" t="n">
        <v>0.03</v>
      </c>
      <c r="E147" s="105" t="n">
        <v>0.05</v>
      </c>
      <c r="F147" s="105" t="n">
        <v>0</v>
      </c>
      <c r="G147" s="98"/>
    </row>
    <row r="148" customFormat="false" ht="15" hidden="false" customHeight="false" outlineLevel="0" collapsed="false">
      <c r="C148" s="98" t="n">
        <v>100</v>
      </c>
      <c r="D148" s="105" t="n">
        <v>0.05</v>
      </c>
      <c r="E148" s="105" t="n">
        <v>0.075</v>
      </c>
      <c r="F148" s="105" t="n">
        <v>1</v>
      </c>
      <c r="G148" s="98"/>
    </row>
    <row r="149" customFormat="false" ht="15" hidden="false" customHeight="false" outlineLevel="0" collapsed="false">
      <c r="C149" s="98" t="n">
        <v>110</v>
      </c>
      <c r="D149" s="105" t="n">
        <v>0.05</v>
      </c>
      <c r="E149" s="105" t="n">
        <v>0.1</v>
      </c>
      <c r="F149" s="105" t="n">
        <v>1.1</v>
      </c>
      <c r="G149" s="98"/>
    </row>
    <row r="150" customFormat="false" ht="15" hidden="false" customHeight="false" outlineLevel="0" collapsed="false">
      <c r="C150" s="98"/>
      <c r="D150" s="98"/>
      <c r="E150" s="98"/>
      <c r="F150" s="98"/>
      <c r="G150" s="98"/>
    </row>
    <row r="151" customFormat="false" ht="15" hidden="false" customHeight="false" outlineLevel="0" collapsed="false">
      <c r="C151" s="98"/>
      <c r="D151" s="98"/>
      <c r="E151" s="98"/>
      <c r="F151" s="98"/>
      <c r="G151" s="98"/>
    </row>
    <row r="152" customFormat="false" ht="15" hidden="false" customHeight="false" outlineLevel="0" collapsed="false">
      <c r="C152" s="104" t="s">
        <v>757</v>
      </c>
      <c r="D152" s="98"/>
      <c r="E152" s="98"/>
      <c r="F152" s="98"/>
      <c r="G152" s="98"/>
    </row>
    <row r="153" customFormat="false" ht="15" hidden="false" customHeight="false" outlineLevel="0" collapsed="false">
      <c r="C153" s="104" t="s">
        <v>758</v>
      </c>
      <c r="D153" s="98"/>
      <c r="E153" s="98"/>
      <c r="F153" s="98"/>
      <c r="G153" s="98"/>
    </row>
    <row r="154" customFormat="false" ht="15" hidden="false" customHeight="false" outlineLevel="0" collapsed="false">
      <c r="C154" s="104" t="s">
        <v>759</v>
      </c>
      <c r="D154" s="98"/>
      <c r="E154" s="98"/>
      <c r="F154" s="98"/>
      <c r="G154" s="98"/>
    </row>
  </sheetData>
  <dataValidations count="3">
    <dataValidation allowBlank="false" errorStyle="stop" operator="between" showDropDown="false" showErrorMessage="false" showInputMessage="false" sqref="C3" type="list">
      <formula1>"Conservative,Base,Growth"</formula1>
      <formula2>0</formula2>
    </dataValidation>
    <dataValidation allowBlank="false" errorStyle="stop" operator="between" showDropDown="false" showErrorMessage="false" showInputMessage="false" sqref="D3" type="list">
      <formula1>"Conservative,Base,Growth"</formula1>
      <formula2>0</formula2>
    </dataValidation>
    <dataValidation allowBlank="false" errorStyle="stop" operator="between" showDropDown="false" showErrorMessage="false" showInputMessage="false" sqref="D131:F131" type="whole">
      <formula1>1</formula1>
      <formula2>12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8C1C6"/>
    <pageSetUpPr fitToPage="false"/>
  </sheetPr>
  <dimension ref="C1:AQ7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2.5"/>
    <col collapsed="false" customWidth="true" hidden="false" outlineLevel="0" max="3" min="3" style="0" width="40"/>
    <col collapsed="false" customWidth="true" hidden="false" outlineLevel="0" max="6" min="4" style="0" width="14"/>
    <col collapsed="false" customWidth="true" hidden="false" outlineLevel="0" max="7" min="7" style="0" width="3"/>
    <col collapsed="false" customWidth="true" hidden="false" outlineLevel="0" max="43" min="8" style="0" width="14"/>
  </cols>
  <sheetData>
    <row r="1" customFormat="false" ht="21" hidden="false" customHeight="true" outlineLevel="0" collapsed="false"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</row>
    <row r="2" customFormat="false" ht="30" hidden="false" customHeight="true" outlineLevel="0" collapsed="false">
      <c r="C2" s="75" t="s">
        <v>760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</row>
    <row r="3" customFormat="false" ht="21" hidden="false" customHeight="true" outlineLevel="0" collapsed="false"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</row>
    <row r="4" customFormat="false" ht="21" hidden="false" customHeight="true" outlineLevel="0" collapsed="false">
      <c r="C4" s="74" t="s">
        <v>580</v>
      </c>
      <c r="D4" s="77" t="str">
        <f aca="false">'W Assumptions'!D3</f>
        <v>Base</v>
      </c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</row>
    <row r="5" customFormat="false" ht="21" hidden="false" customHeight="true" outlineLevel="0" collapsed="false"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</row>
    <row r="6" customFormat="false" ht="33.75" hidden="false" customHeight="true" outlineLevel="0" collapsed="false">
      <c r="C6" s="78" t="s">
        <v>761</v>
      </c>
      <c r="D6" s="85" t="s">
        <v>715</v>
      </c>
      <c r="E6" s="85" t="s">
        <v>716</v>
      </c>
      <c r="F6" s="85" t="s">
        <v>717</v>
      </c>
      <c r="G6" s="79"/>
      <c r="H6" s="108" t="n">
        <v>46266</v>
      </c>
      <c r="I6" s="108" t="n">
        <v>46296</v>
      </c>
      <c r="J6" s="108" t="n">
        <v>46327</v>
      </c>
      <c r="K6" s="108" t="n">
        <v>46357</v>
      </c>
      <c r="L6" s="108" t="n">
        <v>46388</v>
      </c>
      <c r="M6" s="108" t="n">
        <v>46419</v>
      </c>
      <c r="N6" s="108" t="n">
        <v>46447</v>
      </c>
      <c r="O6" s="108" t="n">
        <v>46478</v>
      </c>
      <c r="P6" s="108" t="n">
        <v>46508</v>
      </c>
      <c r="Q6" s="108" t="n">
        <v>46539</v>
      </c>
      <c r="R6" s="108" t="n">
        <v>46569</v>
      </c>
      <c r="S6" s="108" t="n">
        <v>46600</v>
      </c>
      <c r="T6" s="108" t="n">
        <v>46631</v>
      </c>
      <c r="U6" s="108" t="n">
        <v>46661</v>
      </c>
      <c r="V6" s="108" t="n">
        <v>46692</v>
      </c>
      <c r="W6" s="108" t="n">
        <v>46722</v>
      </c>
      <c r="X6" s="108" t="n">
        <v>46753</v>
      </c>
      <c r="Y6" s="108" t="n">
        <v>46784</v>
      </c>
      <c r="Z6" s="108" t="n">
        <v>46813</v>
      </c>
      <c r="AA6" s="108" t="n">
        <v>46844</v>
      </c>
      <c r="AB6" s="108" t="n">
        <v>46874</v>
      </c>
      <c r="AC6" s="108" t="n">
        <v>46905</v>
      </c>
      <c r="AD6" s="108" t="n">
        <v>46935</v>
      </c>
      <c r="AE6" s="108" t="n">
        <v>46966</v>
      </c>
      <c r="AF6" s="108" t="n">
        <v>46997</v>
      </c>
      <c r="AG6" s="108" t="n">
        <v>47027</v>
      </c>
      <c r="AH6" s="108" t="n">
        <v>47058</v>
      </c>
      <c r="AI6" s="108" t="n">
        <v>47088</v>
      </c>
      <c r="AJ6" s="108" t="n">
        <v>47119</v>
      </c>
      <c r="AK6" s="108" t="n">
        <v>47150</v>
      </c>
      <c r="AL6" s="108" t="n">
        <v>47178</v>
      </c>
      <c r="AM6" s="108" t="n">
        <v>47209</v>
      </c>
      <c r="AN6" s="108" t="n">
        <v>47239</v>
      </c>
      <c r="AO6" s="108" t="n">
        <v>47270</v>
      </c>
      <c r="AP6" s="108" t="n">
        <v>47300</v>
      </c>
      <c r="AQ6" s="108" t="n">
        <v>47331</v>
      </c>
    </row>
    <row r="7" customFormat="false" ht="21" hidden="false" customHeight="true" outlineLevel="0" collapsed="false">
      <c r="C7" s="74" t="s">
        <v>762</v>
      </c>
      <c r="D7" s="109" t="n">
        <f aca="false">SUM(H7:S7)</f>
        <v>12180785.5450923</v>
      </c>
      <c r="E7" s="109" t="n">
        <f aca="false">SUM(T7:AE7)</f>
        <v>17795457.1478261</v>
      </c>
      <c r="F7" s="109" t="n">
        <f aca="false">SUM(AF7:AQ7)</f>
        <v>19449311.7872417</v>
      </c>
      <c r="G7" s="79"/>
      <c r="H7" s="81" t="n">
        <f aca="false">SUMIFS('W Site Monthly'!$L$6:$L$365,'W Site Monthly'!$C$6:$C$365,H$6)</f>
        <v>150604.444444444</v>
      </c>
      <c r="I7" s="81" t="n">
        <f aca="false">SUMIFS('W Site Monthly'!$L$6:$L$365,'W Site Monthly'!$C$6:$C$365,I$6)</f>
        <v>464963.021972885</v>
      </c>
      <c r="J7" s="81" t="n">
        <f aca="false">SUMIFS('W Site Monthly'!$L$6:$L$365,'W Site Monthly'!$C$6:$C$365,J$6)</f>
        <v>499660.463768116</v>
      </c>
      <c r="K7" s="81" t="n">
        <f aca="false">SUMIFS('W Site Monthly'!$L$6:$L$365,'W Site Monthly'!$C$6:$C$365,K$6)</f>
        <v>1034573.33333333</v>
      </c>
      <c r="L7" s="81" t="n">
        <f aca="false">SUMIFS('W Site Monthly'!$L$6:$L$365,'W Site Monthly'!$C$6:$C$365,L$6)</f>
        <v>1038878.02898551</v>
      </c>
      <c r="M7" s="81" t="n">
        <f aca="false">SUMIFS('W Site Monthly'!$L$6:$L$365,'W Site Monthly'!$C$6:$C$365,M$6)</f>
        <v>957378.426501035</v>
      </c>
      <c r="N7" s="81" t="n">
        <f aca="false">SUMIFS('W Site Monthly'!$L$6:$L$365,'W Site Monthly'!$C$6:$C$365,N$6)</f>
        <v>1465600.28985507</v>
      </c>
      <c r="O7" s="81" t="n">
        <f aca="false">SUMIFS('W Site Monthly'!$L$6:$L$365,'W Site Monthly'!$C$6:$C$365,O$6)</f>
        <v>1463095.07246377</v>
      </c>
      <c r="P7" s="81" t="n">
        <f aca="false">SUMIFS('W Site Monthly'!$L$6:$L$365,'W Site Monthly'!$C$6:$C$365,P$6)</f>
        <v>1174965.94202899</v>
      </c>
      <c r="Q7" s="81" t="n">
        <f aca="false">SUMIFS('W Site Monthly'!$L$6:$L$365,'W Site Monthly'!$C$6:$C$365,Q$6)</f>
        <v>1267699.42028986</v>
      </c>
      <c r="R7" s="81" t="n">
        <f aca="false">SUMIFS('W Site Monthly'!$L$6:$L$365,'W Site Monthly'!$C$6:$C$365,R$6)</f>
        <v>1367319.42028986</v>
      </c>
      <c r="S7" s="81" t="n">
        <f aca="false">SUMIFS('W Site Monthly'!$L$6:$L$365,'W Site Monthly'!$C$6:$C$365,S$6)</f>
        <v>1296047.68115942</v>
      </c>
      <c r="T7" s="81" t="n">
        <f aca="false">SUMIFS('W Site Monthly'!$L$6:$L$365,'W Site Monthly'!$C$6:$C$365,T$6)</f>
        <v>1306959.42898551</v>
      </c>
      <c r="U7" s="81" t="n">
        <f aca="false">SUMIFS('W Site Monthly'!$L$6:$L$365,'W Site Monthly'!$C$6:$C$365,U$6)</f>
        <v>1509631.88376812</v>
      </c>
      <c r="V7" s="81" t="n">
        <f aca="false">SUMIFS('W Site Monthly'!$L$6:$L$365,'W Site Monthly'!$C$6:$C$365,V$6)</f>
        <v>1448311.33855072</v>
      </c>
      <c r="W7" s="81" t="n">
        <f aca="false">SUMIFS('W Site Monthly'!$L$6:$L$365,'W Site Monthly'!$C$6:$C$365,W$6)</f>
        <v>1809379.59333333</v>
      </c>
      <c r="X7" s="81" t="n">
        <f aca="false">SUMIFS('W Site Monthly'!$L$6:$L$365,'W Site Monthly'!$C$6:$C$365,X$6)</f>
        <v>1509631.88376812</v>
      </c>
      <c r="Y7" s="81" t="n">
        <f aca="false">SUMIFS('W Site Monthly'!$L$6:$L$365,'W Site Monthly'!$C$6:$C$365,Y$6)</f>
        <v>1306959.42898551</v>
      </c>
      <c r="Z7" s="81" t="n">
        <f aca="false">SUMIFS('W Site Monthly'!$L$6:$L$365,'W Site Monthly'!$C$6:$C$365,Z$6)</f>
        <v>1659505.73855073</v>
      </c>
      <c r="AA7" s="81" t="n">
        <f aca="false">SUMIFS('W Site Monthly'!$L$6:$L$365,'W Site Monthly'!$C$6:$C$365,AA$6)</f>
        <v>1615229.08376812</v>
      </c>
      <c r="AB7" s="81" t="n">
        <f aca="false">SUMIFS('W Site Monthly'!$L$6:$L$365,'W Site Monthly'!$C$6:$C$365,AB$6)</f>
        <v>1306959.42898551</v>
      </c>
      <c r="AC7" s="81" t="n">
        <f aca="false">SUMIFS('W Site Monthly'!$L$6:$L$365,'W Site Monthly'!$C$6:$C$365,AC$6)</f>
        <v>1393845.80985507</v>
      </c>
      <c r="AD7" s="81" t="n">
        <f aca="false">SUMIFS('W Site Monthly'!$L$6:$L$365,'W Site Monthly'!$C$6:$C$365,AD$6)</f>
        <v>1499443.00985507</v>
      </c>
      <c r="AE7" s="81" t="n">
        <f aca="false">SUMIFS('W Site Monthly'!$L$6:$L$365,'W Site Monthly'!$C$6:$C$365,AE$6)</f>
        <v>1429600.51942029</v>
      </c>
      <c r="AF7" s="81" t="n">
        <f aca="false">SUMIFS('W Site Monthly'!$L$6:$L$365,'W Site Monthly'!$C$6:$C$365,AF$6)</f>
        <v>1434220.92893681</v>
      </c>
      <c r="AG7" s="81" t="n">
        <f aca="false">SUMIFS('W Site Monthly'!$L$6:$L$365,'W Site Monthly'!$C$6:$C$365,AG$6)</f>
        <v>1651373.82771699</v>
      </c>
      <c r="AH7" s="81" t="n">
        <f aca="false">SUMIFS('W Site Monthly'!$L$6:$L$365,'W Site Monthly'!$C$6:$C$365,AH$6)</f>
        <v>1588694.14649716</v>
      </c>
      <c r="AI7" s="81" t="n">
        <f aca="false">SUMIFS('W Site Monthly'!$L$6:$L$365,'W Site Monthly'!$C$6:$C$365,AI$6)</f>
        <v>1973746.59327733</v>
      </c>
      <c r="AJ7" s="81" t="n">
        <f aca="false">SUMIFS('W Site Monthly'!$L$6:$L$365,'W Site Monthly'!$C$6:$C$365,AJ$6)</f>
        <v>1651373.82771699</v>
      </c>
      <c r="AK7" s="81" t="n">
        <f aca="false">SUMIFS('W Site Monthly'!$L$6:$L$365,'W Site Monthly'!$C$6:$C$365,AK$6)</f>
        <v>1434220.92893681</v>
      </c>
      <c r="AL7" s="81" t="n">
        <f aca="false">SUMIFS('W Site Monthly'!$L$6:$L$365,'W Site Monthly'!$C$6:$C$365,AL$6)</f>
        <v>1812560.21049716</v>
      </c>
      <c r="AM7" s="81" t="n">
        <f aca="false">SUMIFS('W Site Monthly'!$L$6:$L$365,'W Site Monthly'!$C$6:$C$365,AM$6)</f>
        <v>1763306.85971699</v>
      </c>
      <c r="AN7" s="81" t="n">
        <f aca="false">SUMIFS('W Site Monthly'!$L$6:$L$365,'W Site Monthly'!$C$6:$C$365,AN$6)</f>
        <v>1434220.92893681</v>
      </c>
      <c r="AO7" s="81" t="n">
        <f aca="false">SUMIFS('W Site Monthly'!$L$6:$L$365,'W Site Monthly'!$C$6:$C$365,AO$6)</f>
        <v>1517040.10581612</v>
      </c>
      <c r="AP7" s="81" t="n">
        <f aca="false">SUMIFS('W Site Monthly'!$L$6:$L$365,'W Site Monthly'!$C$6:$C$365,AP$6)</f>
        <v>1628973.13781612</v>
      </c>
      <c r="AQ7" s="81" t="n">
        <f aca="false">SUMIFS('W Site Monthly'!$L$6:$L$365,'W Site Monthly'!$C$6:$C$365,AQ$6)</f>
        <v>1559580.29137646</v>
      </c>
    </row>
    <row r="8" customFormat="false" ht="21" hidden="false" customHeight="true" outlineLevel="0" collapsed="false">
      <c r="C8" s="74" t="s">
        <v>763</v>
      </c>
      <c r="D8" s="109" t="n">
        <f aca="false">SUM(H8:S8)</f>
        <v>874300</v>
      </c>
      <c r="E8" s="109" t="n">
        <f aca="false">SUM(T8:AE8)</f>
        <v>2902000</v>
      </c>
      <c r="F8" s="109" t="n">
        <f aca="false">SUM(AF8:AQ8)</f>
        <v>6759000</v>
      </c>
      <c r="G8" s="79"/>
      <c r="H8" s="81" t="n">
        <f aca="false">SUMIFS('W Program Monthly'!$H$6:$H$509,'W Program Monthly'!$C$6:$C$509,H$6, 'W Program Monthly'!$E$6:$E$509,"TLI")</f>
        <v>0</v>
      </c>
      <c r="I8" s="81" t="n">
        <f aca="false">SUMIFS('W Program Monthly'!$H$6:$H$509,'W Program Monthly'!$C$6:$C$509,I$6, 'W Program Monthly'!$E$6:$E$509,"TLI")</f>
        <v>23007.8947368421</v>
      </c>
      <c r="J8" s="81" t="n">
        <f aca="false">SUMIFS('W Program Monthly'!$H$6:$H$509,'W Program Monthly'!$C$6:$C$509,J$6, 'W Program Monthly'!$E$6:$E$509,"TLI")</f>
        <v>46015.7894736842</v>
      </c>
      <c r="K8" s="81" t="n">
        <f aca="false">SUMIFS('W Program Monthly'!$H$6:$H$509,'W Program Monthly'!$C$6:$C$509,K$6, 'W Program Monthly'!$E$6:$E$509,"TLI")</f>
        <v>69023.6842105263</v>
      </c>
      <c r="L8" s="81" t="n">
        <f aca="false">SUMIFS('W Program Monthly'!$H$6:$H$509,'W Program Monthly'!$C$6:$C$509,L$6, 'W Program Monthly'!$E$6:$E$509,"TLI")</f>
        <v>92031.5789473684</v>
      </c>
      <c r="M8" s="81" t="n">
        <f aca="false">SUMIFS('W Program Monthly'!$H$6:$H$509,'W Program Monthly'!$C$6:$C$509,M$6, 'W Program Monthly'!$E$6:$E$509,"TLI")</f>
        <v>92031.5789473684</v>
      </c>
      <c r="N8" s="81" t="n">
        <f aca="false">SUMIFS('W Program Monthly'!$H$6:$H$509,'W Program Monthly'!$C$6:$C$509,N$6, 'W Program Monthly'!$E$6:$E$509,"TLI")</f>
        <v>92031.5789473684</v>
      </c>
      <c r="O8" s="81" t="n">
        <f aca="false">SUMIFS('W Program Monthly'!$H$6:$H$509,'W Program Monthly'!$C$6:$C$509,O$6, 'W Program Monthly'!$E$6:$E$509,"TLI")</f>
        <v>92031.5789473684</v>
      </c>
      <c r="P8" s="81" t="n">
        <f aca="false">SUMIFS('W Program Monthly'!$H$6:$H$509,'W Program Monthly'!$C$6:$C$509,P$6, 'W Program Monthly'!$E$6:$E$509,"TLI")</f>
        <v>92031.5789473684</v>
      </c>
      <c r="Q8" s="81" t="n">
        <f aca="false">SUMIFS('W Program Monthly'!$H$6:$H$509,'W Program Monthly'!$C$6:$C$509,Q$6, 'W Program Monthly'!$E$6:$E$509,"TLI")</f>
        <v>92031.5789473684</v>
      </c>
      <c r="R8" s="81" t="n">
        <f aca="false">SUMIFS('W Program Monthly'!$H$6:$H$509,'W Program Monthly'!$C$6:$C$509,R$6, 'W Program Monthly'!$E$6:$E$509,"TLI")</f>
        <v>92031.5789473684</v>
      </c>
      <c r="S8" s="81" t="n">
        <f aca="false">SUMIFS('W Program Monthly'!$H$6:$H$509,'W Program Monthly'!$C$6:$C$509,S$6, 'W Program Monthly'!$E$6:$E$509,"TLI")</f>
        <v>92031.5789473684</v>
      </c>
      <c r="T8" s="81" t="n">
        <f aca="false">SUMIFS('W Program Monthly'!$H$6:$H$509,'W Program Monthly'!$C$6:$C$509,T$6, 'W Program Monthly'!$E$6:$E$509,"TLI")</f>
        <v>241833.333333333</v>
      </c>
      <c r="U8" s="81" t="n">
        <f aca="false">SUMIFS('W Program Monthly'!$H$6:$H$509,'W Program Monthly'!$C$6:$C$509,U$6, 'W Program Monthly'!$E$6:$E$509,"TLI")</f>
        <v>241833.333333333</v>
      </c>
      <c r="V8" s="81" t="n">
        <f aca="false">SUMIFS('W Program Monthly'!$H$6:$H$509,'W Program Monthly'!$C$6:$C$509,V$6, 'W Program Monthly'!$E$6:$E$509,"TLI")</f>
        <v>241833.333333333</v>
      </c>
      <c r="W8" s="81" t="n">
        <f aca="false">SUMIFS('W Program Monthly'!$H$6:$H$509,'W Program Monthly'!$C$6:$C$509,W$6, 'W Program Monthly'!$E$6:$E$509,"TLI")</f>
        <v>241833.333333333</v>
      </c>
      <c r="X8" s="81" t="n">
        <f aca="false">SUMIFS('W Program Monthly'!$H$6:$H$509,'W Program Monthly'!$C$6:$C$509,X$6, 'W Program Monthly'!$E$6:$E$509,"TLI")</f>
        <v>241833.333333333</v>
      </c>
      <c r="Y8" s="81" t="n">
        <f aca="false">SUMIFS('W Program Monthly'!$H$6:$H$509,'W Program Monthly'!$C$6:$C$509,Y$6, 'W Program Monthly'!$E$6:$E$509,"TLI")</f>
        <v>241833.333333333</v>
      </c>
      <c r="Z8" s="81" t="n">
        <f aca="false">SUMIFS('W Program Monthly'!$H$6:$H$509,'W Program Monthly'!$C$6:$C$509,Z$6, 'W Program Monthly'!$E$6:$E$509,"TLI")</f>
        <v>241833.333333333</v>
      </c>
      <c r="AA8" s="81" t="n">
        <f aca="false">SUMIFS('W Program Monthly'!$H$6:$H$509,'W Program Monthly'!$C$6:$C$509,AA$6, 'W Program Monthly'!$E$6:$E$509,"TLI")</f>
        <v>241833.333333333</v>
      </c>
      <c r="AB8" s="81" t="n">
        <f aca="false">SUMIFS('W Program Monthly'!$H$6:$H$509,'W Program Monthly'!$C$6:$C$509,AB$6, 'W Program Monthly'!$E$6:$E$509,"TLI")</f>
        <v>241833.333333333</v>
      </c>
      <c r="AC8" s="81" t="n">
        <f aca="false">SUMIFS('W Program Monthly'!$H$6:$H$509,'W Program Monthly'!$C$6:$C$509,AC$6, 'W Program Monthly'!$E$6:$E$509,"TLI")</f>
        <v>241833.333333333</v>
      </c>
      <c r="AD8" s="81" t="n">
        <f aca="false">SUMIFS('W Program Monthly'!$H$6:$H$509,'W Program Monthly'!$C$6:$C$509,AD$6, 'W Program Monthly'!$E$6:$E$509,"TLI")</f>
        <v>241833.333333333</v>
      </c>
      <c r="AE8" s="81" t="n">
        <f aca="false">SUMIFS('W Program Monthly'!$H$6:$H$509,'W Program Monthly'!$C$6:$C$509,AE$6, 'W Program Monthly'!$E$6:$E$509,"TLI")</f>
        <v>241833.333333333</v>
      </c>
      <c r="AF8" s="81" t="n">
        <f aca="false">SUMIFS('W Program Monthly'!$H$6:$H$509,'W Program Monthly'!$C$6:$C$509,AF$6, 'W Program Monthly'!$E$6:$E$509,"TLI")</f>
        <v>563250</v>
      </c>
      <c r="AG8" s="81" t="n">
        <f aca="false">SUMIFS('W Program Monthly'!$H$6:$H$509,'W Program Monthly'!$C$6:$C$509,AG$6, 'W Program Monthly'!$E$6:$E$509,"TLI")</f>
        <v>563250</v>
      </c>
      <c r="AH8" s="81" t="n">
        <f aca="false">SUMIFS('W Program Monthly'!$H$6:$H$509,'W Program Monthly'!$C$6:$C$509,AH$6, 'W Program Monthly'!$E$6:$E$509,"TLI")</f>
        <v>563250</v>
      </c>
      <c r="AI8" s="81" t="n">
        <f aca="false">SUMIFS('W Program Monthly'!$H$6:$H$509,'W Program Monthly'!$C$6:$C$509,AI$6, 'W Program Monthly'!$E$6:$E$509,"TLI")</f>
        <v>563250</v>
      </c>
      <c r="AJ8" s="81" t="n">
        <f aca="false">SUMIFS('W Program Monthly'!$H$6:$H$509,'W Program Monthly'!$C$6:$C$509,AJ$6, 'W Program Monthly'!$E$6:$E$509,"TLI")</f>
        <v>563250</v>
      </c>
      <c r="AK8" s="81" t="n">
        <f aca="false">SUMIFS('W Program Monthly'!$H$6:$H$509,'W Program Monthly'!$C$6:$C$509,AK$6, 'W Program Monthly'!$E$6:$E$509,"TLI")</f>
        <v>563250</v>
      </c>
      <c r="AL8" s="81" t="n">
        <f aca="false">SUMIFS('W Program Monthly'!$H$6:$H$509,'W Program Monthly'!$C$6:$C$509,AL$6, 'W Program Monthly'!$E$6:$E$509,"TLI")</f>
        <v>563250</v>
      </c>
      <c r="AM8" s="81" t="n">
        <f aca="false">SUMIFS('W Program Monthly'!$H$6:$H$509,'W Program Monthly'!$C$6:$C$509,AM$6, 'W Program Monthly'!$E$6:$E$509,"TLI")</f>
        <v>563250</v>
      </c>
      <c r="AN8" s="81" t="n">
        <f aca="false">SUMIFS('W Program Monthly'!$H$6:$H$509,'W Program Monthly'!$C$6:$C$509,AN$6, 'W Program Monthly'!$E$6:$E$509,"TLI")</f>
        <v>563250</v>
      </c>
      <c r="AO8" s="81" t="n">
        <f aca="false">SUMIFS('W Program Monthly'!$H$6:$H$509,'W Program Monthly'!$C$6:$C$509,AO$6, 'W Program Monthly'!$E$6:$E$509,"TLI")</f>
        <v>563250</v>
      </c>
      <c r="AP8" s="81" t="n">
        <f aca="false">SUMIFS('W Program Monthly'!$H$6:$H$509,'W Program Monthly'!$C$6:$C$509,AP$6, 'W Program Monthly'!$E$6:$E$509,"TLI")</f>
        <v>563250</v>
      </c>
      <c r="AQ8" s="81" t="n">
        <f aca="false">SUMIFS('W Program Monthly'!$H$6:$H$509,'W Program Monthly'!$C$6:$C$509,AQ$6, 'W Program Monthly'!$E$6:$E$509,"TLI")</f>
        <v>563250</v>
      </c>
    </row>
    <row r="9" customFormat="false" ht="21" hidden="false" customHeight="true" outlineLevel="0" collapsed="false">
      <c r="C9" s="74" t="s">
        <v>764</v>
      </c>
      <c r="D9" s="109" t="n">
        <f aca="false">SUM(H9:S9)</f>
        <v>1623700</v>
      </c>
      <c r="E9" s="109" t="n">
        <f aca="false">SUM(T9:AE9)</f>
        <v>4353000</v>
      </c>
      <c r="F9" s="109" t="n">
        <f aca="false">SUM(AF9:AQ9)</f>
        <v>8261000</v>
      </c>
      <c r="G9" s="79"/>
      <c r="H9" s="81" t="n">
        <f aca="false">SUMIFS('W Program Monthly'!$H$6:$H$509,'W Program Monthly'!$C$6:$C$509,H$6, 'W Program Monthly'!$E$6:$E$509,"WOO IP")</f>
        <v>0</v>
      </c>
      <c r="I9" s="81" t="n">
        <f aca="false">SUMIFS('W Program Monthly'!$H$6:$H$509,'W Program Monthly'!$C$6:$C$509,I$6, 'W Program Monthly'!$E$6:$E$509,"WOO IP")</f>
        <v>42728.9473684211</v>
      </c>
      <c r="J9" s="81" t="n">
        <f aca="false">SUMIFS('W Program Monthly'!$H$6:$H$509,'W Program Monthly'!$C$6:$C$509,J$6, 'W Program Monthly'!$E$6:$E$509,"WOO IP")</f>
        <v>85457.8947368421</v>
      </c>
      <c r="K9" s="81" t="n">
        <f aca="false">SUMIFS('W Program Monthly'!$H$6:$H$509,'W Program Monthly'!$C$6:$C$509,K$6, 'W Program Monthly'!$E$6:$E$509,"WOO IP")</f>
        <v>128186.842105263</v>
      </c>
      <c r="L9" s="81" t="n">
        <f aca="false">SUMIFS('W Program Monthly'!$H$6:$H$509,'W Program Monthly'!$C$6:$C$509,L$6, 'W Program Monthly'!$E$6:$E$509,"WOO IP")</f>
        <v>170915.789473684</v>
      </c>
      <c r="M9" s="81" t="n">
        <f aca="false">SUMIFS('W Program Monthly'!$H$6:$H$509,'W Program Monthly'!$C$6:$C$509,M$6, 'W Program Monthly'!$E$6:$E$509,"WOO IP")</f>
        <v>170915.789473684</v>
      </c>
      <c r="N9" s="81" t="n">
        <f aca="false">SUMIFS('W Program Monthly'!$H$6:$H$509,'W Program Monthly'!$C$6:$C$509,N$6, 'W Program Monthly'!$E$6:$E$509,"WOO IP")</f>
        <v>170915.789473684</v>
      </c>
      <c r="O9" s="81" t="n">
        <f aca="false">SUMIFS('W Program Monthly'!$H$6:$H$509,'W Program Monthly'!$C$6:$C$509,O$6, 'W Program Monthly'!$E$6:$E$509,"WOO IP")</f>
        <v>170915.789473684</v>
      </c>
      <c r="P9" s="81" t="n">
        <f aca="false">SUMIFS('W Program Monthly'!$H$6:$H$509,'W Program Monthly'!$C$6:$C$509,P$6, 'W Program Monthly'!$E$6:$E$509,"WOO IP")</f>
        <v>170915.789473684</v>
      </c>
      <c r="Q9" s="81" t="n">
        <f aca="false">SUMIFS('W Program Monthly'!$H$6:$H$509,'W Program Monthly'!$C$6:$C$509,Q$6, 'W Program Monthly'!$E$6:$E$509,"WOO IP")</f>
        <v>170915.789473684</v>
      </c>
      <c r="R9" s="81" t="n">
        <f aca="false">SUMIFS('W Program Monthly'!$H$6:$H$509,'W Program Monthly'!$C$6:$C$509,R$6, 'W Program Monthly'!$E$6:$E$509,"WOO IP")</f>
        <v>170915.789473684</v>
      </c>
      <c r="S9" s="81" t="n">
        <f aca="false">SUMIFS('W Program Monthly'!$H$6:$H$509,'W Program Monthly'!$C$6:$C$509,S$6, 'W Program Monthly'!$E$6:$E$509,"WOO IP")</f>
        <v>170915.789473684</v>
      </c>
      <c r="T9" s="81" t="n">
        <f aca="false">SUMIFS('W Program Monthly'!$H$6:$H$509,'W Program Monthly'!$C$6:$C$509,T$6, 'W Program Monthly'!$E$6:$E$509,"WOO IP")</f>
        <v>362750</v>
      </c>
      <c r="U9" s="81" t="n">
        <f aca="false">SUMIFS('W Program Monthly'!$H$6:$H$509,'W Program Monthly'!$C$6:$C$509,U$6, 'W Program Monthly'!$E$6:$E$509,"WOO IP")</f>
        <v>362750</v>
      </c>
      <c r="V9" s="81" t="n">
        <f aca="false">SUMIFS('W Program Monthly'!$H$6:$H$509,'W Program Monthly'!$C$6:$C$509,V$6, 'W Program Monthly'!$E$6:$E$509,"WOO IP")</f>
        <v>362750</v>
      </c>
      <c r="W9" s="81" t="n">
        <f aca="false">SUMIFS('W Program Monthly'!$H$6:$H$509,'W Program Monthly'!$C$6:$C$509,W$6, 'W Program Monthly'!$E$6:$E$509,"WOO IP")</f>
        <v>362750</v>
      </c>
      <c r="X9" s="81" t="n">
        <f aca="false">SUMIFS('W Program Monthly'!$H$6:$H$509,'W Program Monthly'!$C$6:$C$509,X$6, 'W Program Monthly'!$E$6:$E$509,"WOO IP")</f>
        <v>362750</v>
      </c>
      <c r="Y9" s="81" t="n">
        <f aca="false">SUMIFS('W Program Monthly'!$H$6:$H$509,'W Program Monthly'!$C$6:$C$509,Y$6, 'W Program Monthly'!$E$6:$E$509,"WOO IP")</f>
        <v>362750</v>
      </c>
      <c r="Z9" s="81" t="n">
        <f aca="false">SUMIFS('W Program Monthly'!$H$6:$H$509,'W Program Monthly'!$C$6:$C$509,Z$6, 'W Program Monthly'!$E$6:$E$509,"WOO IP")</f>
        <v>362750</v>
      </c>
      <c r="AA9" s="81" t="n">
        <f aca="false">SUMIFS('W Program Monthly'!$H$6:$H$509,'W Program Monthly'!$C$6:$C$509,AA$6, 'W Program Monthly'!$E$6:$E$509,"WOO IP")</f>
        <v>362750</v>
      </c>
      <c r="AB9" s="81" t="n">
        <f aca="false">SUMIFS('W Program Monthly'!$H$6:$H$509,'W Program Monthly'!$C$6:$C$509,AB$6, 'W Program Monthly'!$E$6:$E$509,"WOO IP")</f>
        <v>362750</v>
      </c>
      <c r="AC9" s="81" t="n">
        <f aca="false">SUMIFS('W Program Monthly'!$H$6:$H$509,'W Program Monthly'!$C$6:$C$509,AC$6, 'W Program Monthly'!$E$6:$E$509,"WOO IP")</f>
        <v>362750</v>
      </c>
      <c r="AD9" s="81" t="n">
        <f aca="false">SUMIFS('W Program Monthly'!$H$6:$H$509,'W Program Monthly'!$C$6:$C$509,AD$6, 'W Program Monthly'!$E$6:$E$509,"WOO IP")</f>
        <v>362750</v>
      </c>
      <c r="AE9" s="81" t="n">
        <f aca="false">SUMIFS('W Program Monthly'!$H$6:$H$509,'W Program Monthly'!$C$6:$C$509,AE$6, 'W Program Monthly'!$E$6:$E$509,"WOO IP")</f>
        <v>362750</v>
      </c>
      <c r="AF9" s="81" t="n">
        <f aca="false">SUMIFS('W Program Monthly'!$H$6:$H$509,'W Program Monthly'!$C$6:$C$509,AF$6, 'W Program Monthly'!$E$6:$E$509,"WOO IP")</f>
        <v>688416.666666667</v>
      </c>
      <c r="AG9" s="81" t="n">
        <f aca="false">SUMIFS('W Program Monthly'!$H$6:$H$509,'W Program Monthly'!$C$6:$C$509,AG$6, 'W Program Monthly'!$E$6:$E$509,"WOO IP")</f>
        <v>688416.666666667</v>
      </c>
      <c r="AH9" s="81" t="n">
        <f aca="false">SUMIFS('W Program Monthly'!$H$6:$H$509,'W Program Monthly'!$C$6:$C$509,AH$6, 'W Program Monthly'!$E$6:$E$509,"WOO IP")</f>
        <v>688416.666666667</v>
      </c>
      <c r="AI9" s="81" t="n">
        <f aca="false">SUMIFS('W Program Monthly'!$H$6:$H$509,'W Program Monthly'!$C$6:$C$509,AI$6, 'W Program Monthly'!$E$6:$E$509,"WOO IP")</f>
        <v>688416.666666667</v>
      </c>
      <c r="AJ9" s="81" t="n">
        <f aca="false">SUMIFS('W Program Monthly'!$H$6:$H$509,'W Program Monthly'!$C$6:$C$509,AJ$6, 'W Program Monthly'!$E$6:$E$509,"WOO IP")</f>
        <v>688416.666666667</v>
      </c>
      <c r="AK9" s="81" t="n">
        <f aca="false">SUMIFS('W Program Monthly'!$H$6:$H$509,'W Program Monthly'!$C$6:$C$509,AK$6, 'W Program Monthly'!$E$6:$E$509,"WOO IP")</f>
        <v>688416.666666667</v>
      </c>
      <c r="AL9" s="81" t="n">
        <f aca="false">SUMIFS('W Program Monthly'!$H$6:$H$509,'W Program Monthly'!$C$6:$C$509,AL$6, 'W Program Monthly'!$E$6:$E$509,"WOO IP")</f>
        <v>688416.666666667</v>
      </c>
      <c r="AM9" s="81" t="n">
        <f aca="false">SUMIFS('W Program Monthly'!$H$6:$H$509,'W Program Monthly'!$C$6:$C$509,AM$6, 'W Program Monthly'!$E$6:$E$509,"WOO IP")</f>
        <v>688416.666666667</v>
      </c>
      <c r="AN9" s="81" t="n">
        <f aca="false">SUMIFS('W Program Monthly'!$H$6:$H$509,'W Program Monthly'!$C$6:$C$509,AN$6, 'W Program Monthly'!$E$6:$E$509,"WOO IP")</f>
        <v>688416.666666667</v>
      </c>
      <c r="AO9" s="81" t="n">
        <f aca="false">SUMIFS('W Program Monthly'!$H$6:$H$509,'W Program Monthly'!$C$6:$C$509,AO$6, 'W Program Monthly'!$E$6:$E$509,"WOO IP")</f>
        <v>688416.666666667</v>
      </c>
      <c r="AP9" s="81" t="n">
        <f aca="false">SUMIFS('W Program Monthly'!$H$6:$H$509,'W Program Monthly'!$C$6:$C$509,AP$6, 'W Program Monthly'!$E$6:$E$509,"WOO IP")</f>
        <v>688416.666666667</v>
      </c>
      <c r="AQ9" s="81" t="n">
        <f aca="false">SUMIFS('W Program Monthly'!$H$6:$H$509,'W Program Monthly'!$C$6:$C$509,AQ$6, 'W Program Monthly'!$E$6:$E$509,"WOO IP")</f>
        <v>688416.666666667</v>
      </c>
    </row>
    <row r="10" customFormat="false" ht="21" hidden="false" customHeight="true" outlineLevel="0" collapsed="false">
      <c r="C10" s="86" t="s">
        <v>765</v>
      </c>
      <c r="D10" s="94" t="n">
        <f aca="false">SUM(H10:S10)</f>
        <v>14678785.5450923</v>
      </c>
      <c r="E10" s="94" t="n">
        <f aca="false">SUM(T10:AE10)</f>
        <v>25050457.1478261</v>
      </c>
      <c r="F10" s="94" t="n">
        <f aca="false">SUM(AF10:AQ10)</f>
        <v>34469311.7872417</v>
      </c>
      <c r="G10" s="110"/>
      <c r="H10" s="94" t="n">
        <f aca="false">SUM(H7:H9)</f>
        <v>150604.444444444</v>
      </c>
      <c r="I10" s="94" t="n">
        <f aca="false">SUM(I7:I9)</f>
        <v>530699.864078148</v>
      </c>
      <c r="J10" s="94" t="n">
        <f aca="false">SUM(J7:J9)</f>
        <v>631134.147978642</v>
      </c>
      <c r="K10" s="94" t="n">
        <f aca="false">SUM(K7:K9)</f>
        <v>1231783.85964912</v>
      </c>
      <c r="L10" s="94" t="n">
        <f aca="false">SUM(L7:L9)</f>
        <v>1301825.39740656</v>
      </c>
      <c r="M10" s="94" t="n">
        <f aca="false">SUM(M7:M9)</f>
        <v>1220325.79492209</v>
      </c>
      <c r="N10" s="94" t="n">
        <f aca="false">SUM(N7:N9)</f>
        <v>1728547.65827613</v>
      </c>
      <c r="O10" s="94" t="n">
        <f aca="false">SUM(O7:O9)</f>
        <v>1726042.44088482</v>
      </c>
      <c r="P10" s="94" t="n">
        <f aca="false">SUM(P7:P9)</f>
        <v>1437913.31045004</v>
      </c>
      <c r="Q10" s="94" t="n">
        <f aca="false">SUM(Q7:Q9)</f>
        <v>1530646.78871091</v>
      </c>
      <c r="R10" s="94" t="n">
        <f aca="false">SUM(R7:R9)</f>
        <v>1630266.78871091</v>
      </c>
      <c r="S10" s="94" t="n">
        <f aca="false">SUM(S7:S9)</f>
        <v>1558995.04958047</v>
      </c>
      <c r="T10" s="94" t="n">
        <f aca="false">SUM(T7:T9)</f>
        <v>1911542.76231884</v>
      </c>
      <c r="U10" s="94" t="n">
        <f aca="false">SUM(U7:U9)</f>
        <v>2114215.21710145</v>
      </c>
      <c r="V10" s="94" t="n">
        <f aca="false">SUM(V7:V9)</f>
        <v>2052894.67188406</v>
      </c>
      <c r="W10" s="94" t="n">
        <f aca="false">SUM(W7:W9)</f>
        <v>2413962.92666667</v>
      </c>
      <c r="X10" s="94" t="n">
        <f aca="false">SUM(X7:X9)</f>
        <v>2114215.21710145</v>
      </c>
      <c r="Y10" s="94" t="n">
        <f aca="false">SUM(Y7:Y9)</f>
        <v>1911542.76231884</v>
      </c>
      <c r="Z10" s="94" t="n">
        <f aca="false">SUM(Z7:Z9)</f>
        <v>2264089.07188406</v>
      </c>
      <c r="AA10" s="94" t="n">
        <f aca="false">SUM(AA7:AA9)</f>
        <v>2219812.41710145</v>
      </c>
      <c r="AB10" s="94" t="n">
        <f aca="false">SUM(AB7:AB9)</f>
        <v>1911542.76231884</v>
      </c>
      <c r="AC10" s="94" t="n">
        <f aca="false">SUM(AC7:AC9)</f>
        <v>1998429.14318841</v>
      </c>
      <c r="AD10" s="94" t="n">
        <f aca="false">SUM(AD7:AD9)</f>
        <v>2104026.34318841</v>
      </c>
      <c r="AE10" s="94" t="n">
        <f aca="false">SUM(AE7:AE9)</f>
        <v>2034183.85275362</v>
      </c>
      <c r="AF10" s="94" t="n">
        <f aca="false">SUM(AF7:AF9)</f>
        <v>2685887.59560348</v>
      </c>
      <c r="AG10" s="94" t="n">
        <f aca="false">SUM(AG7:AG9)</f>
        <v>2903040.49438365</v>
      </c>
      <c r="AH10" s="94" t="n">
        <f aca="false">SUM(AH7:AH9)</f>
        <v>2840360.81316383</v>
      </c>
      <c r="AI10" s="94" t="n">
        <f aca="false">SUM(AI7:AI9)</f>
        <v>3225413.259944</v>
      </c>
      <c r="AJ10" s="94" t="n">
        <f aca="false">SUM(AJ7:AJ9)</f>
        <v>2903040.49438365</v>
      </c>
      <c r="AK10" s="94" t="n">
        <f aca="false">SUM(AK7:AK9)</f>
        <v>2685887.59560348</v>
      </c>
      <c r="AL10" s="94" t="n">
        <f aca="false">SUM(AL7:AL9)</f>
        <v>3064226.87716383</v>
      </c>
      <c r="AM10" s="94" t="n">
        <f aca="false">SUM(AM7:AM9)</f>
        <v>3014973.52638365</v>
      </c>
      <c r="AN10" s="94" t="n">
        <f aca="false">SUM(AN7:AN9)</f>
        <v>2685887.59560348</v>
      </c>
      <c r="AO10" s="94" t="n">
        <f aca="false">SUM(AO7:AO9)</f>
        <v>2768706.77248278</v>
      </c>
      <c r="AP10" s="94" t="n">
        <f aca="false">SUM(AP7:AP9)</f>
        <v>2880639.80448278</v>
      </c>
      <c r="AQ10" s="94" t="n">
        <f aca="false">SUM(AQ7:AQ9)</f>
        <v>2811246.95804313</v>
      </c>
    </row>
    <row r="11" customFormat="false" ht="21" hidden="false" customHeight="true" outlineLevel="0" collapsed="false">
      <c r="C11" s="74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</row>
    <row r="12" customFormat="false" ht="21" hidden="false" customHeight="true" outlineLevel="0" collapsed="false">
      <c r="C12" s="74" t="s">
        <v>766</v>
      </c>
      <c r="D12" s="109" t="n">
        <f aca="false">SUM(H12:S12)</f>
        <v>3743044.31950845</v>
      </c>
      <c r="E12" s="109" t="n">
        <f aca="false">SUM(T12:AE12)</f>
        <v>4948402</v>
      </c>
      <c r="F12" s="109" t="n">
        <f aca="false">SUM(AF12:AQ12)</f>
        <v>5180014.1</v>
      </c>
      <c r="G12" s="79"/>
      <c r="H12" s="81" t="n">
        <f aca="false">SUMIFS('W Site Monthly'!$M$6:$M$365,'W Site Monthly'!$C$6:$C$365,H$6)</f>
        <v>57866.6666666667</v>
      </c>
      <c r="I12" s="81" t="n">
        <f aca="false">SUMIFS('W Site Monthly'!$M$6:$M$365,'W Site Monthly'!$C$6:$C$365,I$6)</f>
        <v>130288.129032258</v>
      </c>
      <c r="J12" s="81" t="n">
        <f aca="false">SUMIFS('W Site Monthly'!$M$6:$M$365,'W Site Monthly'!$C$6:$C$365,J$6)</f>
        <v>184924.666666667</v>
      </c>
      <c r="K12" s="81" t="n">
        <f aca="false">SUMIFS('W Site Monthly'!$M$6:$M$365,'W Site Monthly'!$C$6:$C$365,K$6)</f>
        <v>250572</v>
      </c>
      <c r="L12" s="81" t="n">
        <f aca="false">SUMIFS('W Site Monthly'!$M$6:$M$365,'W Site Monthly'!$C$6:$C$365,L$6)</f>
        <v>322434</v>
      </c>
      <c r="M12" s="81" t="n">
        <f aca="false">SUMIFS('W Site Monthly'!$M$6:$M$365,'W Site Monthly'!$C$6:$C$365,M$6)</f>
        <v>324338.857142857</v>
      </c>
      <c r="N12" s="81" t="n">
        <f aca="false">SUMIFS('W Site Monthly'!$M$6:$M$365,'W Site Monthly'!$C$6:$C$365,N$6)</f>
        <v>430270</v>
      </c>
      <c r="O12" s="81" t="n">
        <f aca="false">SUMIFS('W Site Monthly'!$M$6:$M$365,'W Site Monthly'!$C$6:$C$365,O$6)</f>
        <v>430270</v>
      </c>
      <c r="P12" s="81" t="n">
        <f aca="false">SUMIFS('W Site Monthly'!$M$6:$M$365,'W Site Monthly'!$C$6:$C$365,P$6)</f>
        <v>375770</v>
      </c>
      <c r="Q12" s="81" t="n">
        <f aca="false">SUMIFS('W Site Monthly'!$M$6:$M$365,'W Site Monthly'!$C$6:$C$365,Q$6)</f>
        <v>430270</v>
      </c>
      <c r="R12" s="81" t="n">
        <f aca="false">SUMIFS('W Site Monthly'!$M$6:$M$365,'W Site Monthly'!$C$6:$C$365,R$6)</f>
        <v>430270</v>
      </c>
      <c r="S12" s="81" t="n">
        <f aca="false">SUMIFS('W Site Monthly'!$M$6:$M$365,'W Site Monthly'!$C$6:$C$365,S$6)</f>
        <v>375770</v>
      </c>
      <c r="T12" s="81" t="n">
        <f aca="false">SUMIFS('W Site Monthly'!$M$6:$M$365,'W Site Monthly'!$C$6:$C$365,T$6)</f>
        <v>393473.5</v>
      </c>
      <c r="U12" s="81" t="n">
        <f aca="false">SUMIFS('W Site Monthly'!$M$6:$M$365,'W Site Monthly'!$C$6:$C$365,U$6)</f>
        <v>393473.5</v>
      </c>
      <c r="V12" s="81" t="n">
        <f aca="false">SUMIFS('W Site Monthly'!$M$6:$M$365,'W Site Monthly'!$C$6:$C$365,V$6)</f>
        <v>393473.5</v>
      </c>
      <c r="W12" s="81" t="n">
        <f aca="false">SUMIFS('W Site Monthly'!$M$6:$M$365,'W Site Monthly'!$C$6:$C$365,W$6)</f>
        <v>393473.5</v>
      </c>
      <c r="X12" s="81" t="n">
        <f aca="false">SUMIFS('W Site Monthly'!$M$6:$M$365,'W Site Monthly'!$C$6:$C$365,X$6)</f>
        <v>393473.5</v>
      </c>
      <c r="Y12" s="81" t="n">
        <f aca="false">SUMIFS('W Site Monthly'!$M$6:$M$365,'W Site Monthly'!$C$6:$C$365,Y$6)</f>
        <v>393473.5</v>
      </c>
      <c r="Z12" s="81" t="n">
        <f aca="false">SUMIFS('W Site Monthly'!$M$6:$M$365,'W Site Monthly'!$C$6:$C$365,Z$6)</f>
        <v>450153.5</v>
      </c>
      <c r="AA12" s="81" t="n">
        <f aca="false">SUMIFS('W Site Monthly'!$M$6:$M$365,'W Site Monthly'!$C$6:$C$365,AA$6)</f>
        <v>450153.5</v>
      </c>
      <c r="AB12" s="81" t="n">
        <f aca="false">SUMIFS('W Site Monthly'!$M$6:$M$365,'W Site Monthly'!$C$6:$C$365,AB$6)</f>
        <v>393473.5</v>
      </c>
      <c r="AC12" s="81" t="n">
        <f aca="false">SUMIFS('W Site Monthly'!$M$6:$M$365,'W Site Monthly'!$C$6:$C$365,AC$6)</f>
        <v>450153.5</v>
      </c>
      <c r="AD12" s="81" t="n">
        <f aca="false">SUMIFS('W Site Monthly'!$M$6:$M$365,'W Site Monthly'!$C$6:$C$365,AD$6)</f>
        <v>450153.5</v>
      </c>
      <c r="AE12" s="81" t="n">
        <f aca="false">SUMIFS('W Site Monthly'!$M$6:$M$365,'W Site Monthly'!$C$6:$C$365,AE$6)</f>
        <v>393473.5</v>
      </c>
      <c r="AF12" s="81" t="n">
        <f aca="false">SUMIFS('W Site Monthly'!$M$6:$M$365,'W Site Monthly'!$C$6:$C$365,AF$6)</f>
        <v>412018.775</v>
      </c>
      <c r="AG12" s="81" t="n">
        <f aca="false">SUMIFS('W Site Monthly'!$M$6:$M$365,'W Site Monthly'!$C$6:$C$365,AG$6)</f>
        <v>412018.775</v>
      </c>
      <c r="AH12" s="81" t="n">
        <f aca="false">SUMIFS('W Site Monthly'!$M$6:$M$365,'W Site Monthly'!$C$6:$C$365,AH$6)</f>
        <v>412018.775</v>
      </c>
      <c r="AI12" s="81" t="n">
        <f aca="false">SUMIFS('W Site Monthly'!$M$6:$M$365,'W Site Monthly'!$C$6:$C$365,AI$6)</f>
        <v>412018.775</v>
      </c>
      <c r="AJ12" s="81" t="n">
        <f aca="false">SUMIFS('W Site Monthly'!$M$6:$M$365,'W Site Monthly'!$C$6:$C$365,AJ$6)</f>
        <v>412018.775</v>
      </c>
      <c r="AK12" s="81" t="n">
        <f aca="false">SUMIFS('W Site Monthly'!$M$6:$M$365,'W Site Monthly'!$C$6:$C$365,AK$6)</f>
        <v>412018.775</v>
      </c>
      <c r="AL12" s="81" t="n">
        <f aca="false">SUMIFS('W Site Monthly'!$M$6:$M$365,'W Site Monthly'!$C$6:$C$365,AL$6)</f>
        <v>470965.975</v>
      </c>
      <c r="AM12" s="81" t="n">
        <f aca="false">SUMIFS('W Site Monthly'!$M$6:$M$365,'W Site Monthly'!$C$6:$C$365,AM$6)</f>
        <v>470965.975</v>
      </c>
      <c r="AN12" s="81" t="n">
        <f aca="false">SUMIFS('W Site Monthly'!$M$6:$M$365,'W Site Monthly'!$C$6:$C$365,AN$6)</f>
        <v>412018.775</v>
      </c>
      <c r="AO12" s="81" t="n">
        <f aca="false">SUMIFS('W Site Monthly'!$M$6:$M$365,'W Site Monthly'!$C$6:$C$365,AO$6)</f>
        <v>470965.975</v>
      </c>
      <c r="AP12" s="81" t="n">
        <f aca="false">SUMIFS('W Site Monthly'!$M$6:$M$365,'W Site Monthly'!$C$6:$C$365,AP$6)</f>
        <v>470965.975</v>
      </c>
      <c r="AQ12" s="81" t="n">
        <f aca="false">SUMIFS('W Site Monthly'!$M$6:$M$365,'W Site Monthly'!$C$6:$C$365,AQ$6)</f>
        <v>412018.775</v>
      </c>
    </row>
    <row r="13" customFormat="false" ht="21" hidden="false" customHeight="true" outlineLevel="0" collapsed="false">
      <c r="C13" s="74" t="s">
        <v>767</v>
      </c>
      <c r="D13" s="109" t="n">
        <f aca="false">SUM(H13:S13)</f>
        <v>1048668.8172043</v>
      </c>
      <c r="E13" s="109" t="n">
        <f aca="false">SUM(T13:AE13)</f>
        <v>1435200</v>
      </c>
      <c r="F13" s="109" t="n">
        <f aca="false">SUM(AF13:AQ13)</f>
        <v>1492608</v>
      </c>
      <c r="G13" s="79"/>
      <c r="H13" s="81" t="n">
        <f aca="false">SUMIFS('W Site Monthly'!$N$6:$N$365,'W Site Monthly'!$C$6:$C$365,H$6)</f>
        <v>8000</v>
      </c>
      <c r="I13" s="81" t="n">
        <f aca="false">SUMIFS('W Site Monthly'!$N$6:$N$365,'W Site Monthly'!$C$6:$C$365,I$6)</f>
        <v>16935.4838709677</v>
      </c>
      <c r="J13" s="81" t="n">
        <f aca="false">SUMIFS('W Site Monthly'!$N$6:$N$365,'W Site Monthly'!$C$6:$C$365,J$6)</f>
        <v>31733.3333333333</v>
      </c>
      <c r="K13" s="81" t="n">
        <f aca="false">SUMIFS('W Site Monthly'!$N$6:$N$365,'W Site Monthly'!$C$6:$C$365,K$6)</f>
        <v>72000</v>
      </c>
      <c r="L13" s="81" t="n">
        <f aca="false">SUMIFS('W Site Monthly'!$N$6:$N$365,'W Site Monthly'!$C$6:$C$365,L$6)</f>
        <v>115000</v>
      </c>
      <c r="M13" s="81" t="n">
        <f aca="false">SUMIFS('W Site Monthly'!$N$6:$N$365,'W Site Monthly'!$C$6:$C$365,M$6)</f>
        <v>115000</v>
      </c>
      <c r="N13" s="81" t="n">
        <f aca="false">SUMIFS('W Site Monthly'!$N$6:$N$365,'W Site Monthly'!$C$6:$C$365,N$6)</f>
        <v>115000</v>
      </c>
      <c r="O13" s="81" t="n">
        <f aca="false">SUMIFS('W Site Monthly'!$N$6:$N$365,'W Site Monthly'!$C$6:$C$365,O$6)</f>
        <v>115000</v>
      </c>
      <c r="P13" s="81" t="n">
        <f aca="false">SUMIFS('W Site Monthly'!$N$6:$N$365,'W Site Monthly'!$C$6:$C$365,P$6)</f>
        <v>115000</v>
      </c>
      <c r="Q13" s="81" t="n">
        <f aca="false">SUMIFS('W Site Monthly'!$N$6:$N$365,'W Site Monthly'!$C$6:$C$365,Q$6)</f>
        <v>115000</v>
      </c>
      <c r="R13" s="81" t="n">
        <f aca="false">SUMIFS('W Site Monthly'!$N$6:$N$365,'W Site Monthly'!$C$6:$C$365,R$6)</f>
        <v>115000</v>
      </c>
      <c r="S13" s="81" t="n">
        <f aca="false">SUMIFS('W Site Monthly'!$N$6:$N$365,'W Site Monthly'!$C$6:$C$365,S$6)</f>
        <v>115000</v>
      </c>
      <c r="T13" s="81" t="n">
        <f aca="false">SUMIFS('W Site Monthly'!$N$6:$N$365,'W Site Monthly'!$C$6:$C$365,T$6)</f>
        <v>119600</v>
      </c>
      <c r="U13" s="81" t="n">
        <f aca="false">SUMIFS('W Site Monthly'!$N$6:$N$365,'W Site Monthly'!$C$6:$C$365,U$6)</f>
        <v>119600</v>
      </c>
      <c r="V13" s="81" t="n">
        <f aca="false">SUMIFS('W Site Monthly'!$N$6:$N$365,'W Site Monthly'!$C$6:$C$365,V$6)</f>
        <v>119600</v>
      </c>
      <c r="W13" s="81" t="n">
        <f aca="false">SUMIFS('W Site Monthly'!$N$6:$N$365,'W Site Monthly'!$C$6:$C$365,W$6)</f>
        <v>119600</v>
      </c>
      <c r="X13" s="81" t="n">
        <f aca="false">SUMIFS('W Site Monthly'!$N$6:$N$365,'W Site Monthly'!$C$6:$C$365,X$6)</f>
        <v>119600</v>
      </c>
      <c r="Y13" s="81" t="n">
        <f aca="false">SUMIFS('W Site Monthly'!$N$6:$N$365,'W Site Monthly'!$C$6:$C$365,Y$6)</f>
        <v>119600</v>
      </c>
      <c r="Z13" s="81" t="n">
        <f aca="false">SUMIFS('W Site Monthly'!$N$6:$N$365,'W Site Monthly'!$C$6:$C$365,Z$6)</f>
        <v>119600</v>
      </c>
      <c r="AA13" s="81" t="n">
        <f aca="false">SUMIFS('W Site Monthly'!$N$6:$N$365,'W Site Monthly'!$C$6:$C$365,AA$6)</f>
        <v>119600</v>
      </c>
      <c r="AB13" s="81" t="n">
        <f aca="false">SUMIFS('W Site Monthly'!$N$6:$N$365,'W Site Monthly'!$C$6:$C$365,AB$6)</f>
        <v>119600</v>
      </c>
      <c r="AC13" s="81" t="n">
        <f aca="false">SUMIFS('W Site Monthly'!$N$6:$N$365,'W Site Monthly'!$C$6:$C$365,AC$6)</f>
        <v>119600</v>
      </c>
      <c r="AD13" s="81" t="n">
        <f aca="false">SUMIFS('W Site Monthly'!$N$6:$N$365,'W Site Monthly'!$C$6:$C$365,AD$6)</f>
        <v>119600</v>
      </c>
      <c r="AE13" s="81" t="n">
        <f aca="false">SUMIFS('W Site Monthly'!$N$6:$N$365,'W Site Monthly'!$C$6:$C$365,AE$6)</f>
        <v>119600</v>
      </c>
      <c r="AF13" s="81" t="n">
        <f aca="false">SUMIFS('W Site Monthly'!$N$6:$N$365,'W Site Monthly'!$C$6:$C$365,AF$6)</f>
        <v>124384</v>
      </c>
      <c r="AG13" s="81" t="n">
        <f aca="false">SUMIFS('W Site Monthly'!$N$6:$N$365,'W Site Monthly'!$C$6:$C$365,AG$6)</f>
        <v>124384</v>
      </c>
      <c r="AH13" s="81" t="n">
        <f aca="false">SUMIFS('W Site Monthly'!$N$6:$N$365,'W Site Monthly'!$C$6:$C$365,AH$6)</f>
        <v>124384</v>
      </c>
      <c r="AI13" s="81" t="n">
        <f aca="false">SUMIFS('W Site Monthly'!$N$6:$N$365,'W Site Monthly'!$C$6:$C$365,AI$6)</f>
        <v>124384</v>
      </c>
      <c r="AJ13" s="81" t="n">
        <f aca="false">SUMIFS('W Site Monthly'!$N$6:$N$365,'W Site Monthly'!$C$6:$C$365,AJ$6)</f>
        <v>124384</v>
      </c>
      <c r="AK13" s="81" t="n">
        <f aca="false">SUMIFS('W Site Monthly'!$N$6:$N$365,'W Site Monthly'!$C$6:$C$365,AK$6)</f>
        <v>124384</v>
      </c>
      <c r="AL13" s="81" t="n">
        <f aca="false">SUMIFS('W Site Monthly'!$N$6:$N$365,'W Site Monthly'!$C$6:$C$365,AL$6)</f>
        <v>124384</v>
      </c>
      <c r="AM13" s="81" t="n">
        <f aca="false">SUMIFS('W Site Monthly'!$N$6:$N$365,'W Site Monthly'!$C$6:$C$365,AM$6)</f>
        <v>124384</v>
      </c>
      <c r="AN13" s="81" t="n">
        <f aca="false">SUMIFS('W Site Monthly'!$N$6:$N$365,'W Site Monthly'!$C$6:$C$365,AN$6)</f>
        <v>124384</v>
      </c>
      <c r="AO13" s="81" t="n">
        <f aca="false">SUMIFS('W Site Monthly'!$N$6:$N$365,'W Site Monthly'!$C$6:$C$365,AO$6)</f>
        <v>124384</v>
      </c>
      <c r="AP13" s="81" t="n">
        <f aca="false">SUMIFS('W Site Monthly'!$N$6:$N$365,'W Site Monthly'!$C$6:$C$365,AP$6)</f>
        <v>124384</v>
      </c>
      <c r="AQ13" s="81" t="n">
        <f aca="false">SUMIFS('W Site Monthly'!$N$6:$N$365,'W Site Monthly'!$C$6:$C$365,AQ$6)</f>
        <v>124384</v>
      </c>
    </row>
    <row r="14" customFormat="false" ht="21" hidden="false" customHeight="true" outlineLevel="0" collapsed="false">
      <c r="C14" s="74" t="s">
        <v>768</v>
      </c>
      <c r="D14" s="109" t="n">
        <f aca="false">SUM(H14:S14)</f>
        <v>203264.86415548</v>
      </c>
      <c r="E14" s="109" t="n">
        <f aca="false">SUM(T14:AE14)</f>
        <v>378703.408695652</v>
      </c>
      <c r="F14" s="109" t="n">
        <f aca="false">SUM(AF14:AQ14)</f>
        <v>420307.391833043</v>
      </c>
      <c r="G14" s="79"/>
      <c r="H14" s="81" t="n">
        <f aca="false">SUMIFS('W Site Monthly'!$O$6:$O$365,'W Site Monthly'!$C$6:$C$365,H$6)</f>
        <v>0</v>
      </c>
      <c r="I14" s="81" t="n">
        <f aca="false">SUMIFS('W Site Monthly'!$O$6:$O$365,'W Site Monthly'!$C$6:$C$365,I$6)</f>
        <v>2712.57223001403</v>
      </c>
      <c r="J14" s="81" t="n">
        <f aca="false">SUMIFS('W Site Monthly'!$O$6:$O$365,'W Site Monthly'!$C$6:$C$365,J$6)</f>
        <v>9759.65217391304</v>
      </c>
      <c r="K14" s="81" t="n">
        <f aca="false">SUMIFS('W Site Monthly'!$O$6:$O$365,'W Site Monthly'!$C$6:$C$365,K$6)</f>
        <v>12720</v>
      </c>
      <c r="L14" s="81" t="n">
        <f aca="false">SUMIFS('W Site Monthly'!$O$6:$O$365,'W Site Monthly'!$C$6:$C$365,L$6)</f>
        <v>11679.1304347826</v>
      </c>
      <c r="M14" s="81" t="n">
        <f aca="false">SUMIFS('W Site Monthly'!$O$6:$O$365,'W Site Monthly'!$C$6:$C$365,M$6)</f>
        <v>11517.8571428571</v>
      </c>
      <c r="N14" s="81" t="n">
        <f aca="false">SUMIFS('W Site Monthly'!$O$6:$O$365,'W Site Monthly'!$C$6:$C$365,N$6)</f>
        <v>26829.1304347826</v>
      </c>
      <c r="O14" s="81" t="n">
        <f aca="false">SUMIFS('W Site Monthly'!$O$6:$O$365,'W Site Monthly'!$C$6:$C$365,O$6)</f>
        <v>29203.0434782609</v>
      </c>
      <c r="P14" s="81" t="n">
        <f aca="false">SUMIFS('W Site Monthly'!$O$6:$O$365,'W Site Monthly'!$C$6:$C$365,P$6)</f>
        <v>27919.5652173913</v>
      </c>
      <c r="Q14" s="81" t="n">
        <f aca="false">SUMIFS('W Site Monthly'!$O$6:$O$365,'W Site Monthly'!$C$6:$C$365,Q$6)</f>
        <v>22785.652173913</v>
      </c>
      <c r="R14" s="81" t="n">
        <f aca="false">SUMIFS('W Site Monthly'!$O$6:$O$365,'W Site Monthly'!$C$6:$C$365,R$6)</f>
        <v>22785.652173913</v>
      </c>
      <c r="S14" s="81" t="n">
        <f aca="false">SUMIFS('W Site Monthly'!$O$6:$O$365,'W Site Monthly'!$C$6:$C$365,S$6)</f>
        <v>25352.6086956522</v>
      </c>
      <c r="T14" s="81" t="n">
        <f aca="false">SUMIFS('W Site Monthly'!$O$6:$O$365,'W Site Monthly'!$C$6:$C$365,T$6)</f>
        <v>31558.6173913044</v>
      </c>
      <c r="U14" s="81" t="n">
        <f aca="false">SUMIFS('W Site Monthly'!$O$6:$O$365,'W Site Monthly'!$C$6:$C$365,U$6)</f>
        <v>33012.7982608696</v>
      </c>
      <c r="V14" s="81" t="n">
        <f aca="false">SUMIFS('W Site Monthly'!$O$6:$O$365,'W Site Monthly'!$C$6:$C$365,V$6)</f>
        <v>34466.9791304348</v>
      </c>
      <c r="W14" s="81" t="n">
        <f aca="false">SUMIFS('W Site Monthly'!$O$6:$O$365,'W Site Monthly'!$C$6:$C$365,W$6)</f>
        <v>35921.16</v>
      </c>
      <c r="X14" s="81" t="n">
        <f aca="false">SUMIFS('W Site Monthly'!$O$6:$O$365,'W Site Monthly'!$C$6:$C$365,X$6)</f>
        <v>33012.7982608696</v>
      </c>
      <c r="Y14" s="81" t="n">
        <f aca="false">SUMIFS('W Site Monthly'!$O$6:$O$365,'W Site Monthly'!$C$6:$C$365,Y$6)</f>
        <v>31558.6173913044</v>
      </c>
      <c r="Z14" s="81" t="n">
        <f aca="false">SUMIFS('W Site Monthly'!$O$6:$O$365,'W Site Monthly'!$C$6:$C$365,Z$6)</f>
        <v>34466.9791304348</v>
      </c>
      <c r="AA14" s="81" t="n">
        <f aca="false">SUMIFS('W Site Monthly'!$O$6:$O$365,'W Site Monthly'!$C$6:$C$365,AA$6)</f>
        <v>33012.7982608696</v>
      </c>
      <c r="AB14" s="81" t="n">
        <f aca="false">SUMIFS('W Site Monthly'!$O$6:$O$365,'W Site Monthly'!$C$6:$C$365,AB$6)</f>
        <v>31558.6173913044</v>
      </c>
      <c r="AC14" s="81" t="n">
        <f aca="false">SUMIFS('W Site Monthly'!$O$6:$O$365,'W Site Monthly'!$C$6:$C$365,AC$6)</f>
        <v>25741.8939130435</v>
      </c>
      <c r="AD14" s="81" t="n">
        <f aca="false">SUMIFS('W Site Monthly'!$O$6:$O$365,'W Site Monthly'!$C$6:$C$365,AD$6)</f>
        <v>25741.8939130435</v>
      </c>
      <c r="AE14" s="81" t="n">
        <f aca="false">SUMIFS('W Site Monthly'!$O$6:$O$365,'W Site Monthly'!$C$6:$C$365,AE$6)</f>
        <v>28650.2556521739</v>
      </c>
      <c r="AF14" s="81" t="n">
        <f aca="false">SUMIFS('W Site Monthly'!$O$6:$O$365,'W Site Monthly'!$C$6:$C$365,AF$6)</f>
        <v>35025.615986087</v>
      </c>
      <c r="AG14" s="81" t="n">
        <f aca="false">SUMIFS('W Site Monthly'!$O$6:$O$365,'W Site Monthly'!$C$6:$C$365,AG$6)</f>
        <v>36643.2467853913</v>
      </c>
      <c r="AH14" s="81" t="n">
        <f aca="false">SUMIFS('W Site Monthly'!$O$6:$O$365,'W Site Monthly'!$C$6:$C$365,AH$6)</f>
        <v>38260.8775846957</v>
      </c>
      <c r="AI14" s="81" t="n">
        <f aca="false">SUMIFS('W Site Monthly'!$O$6:$O$365,'W Site Monthly'!$C$6:$C$365,AI$6)</f>
        <v>39878.508384</v>
      </c>
      <c r="AJ14" s="81" t="n">
        <f aca="false">SUMIFS('W Site Monthly'!$O$6:$O$365,'W Site Monthly'!$C$6:$C$365,AJ$6)</f>
        <v>36643.2467853913</v>
      </c>
      <c r="AK14" s="81" t="n">
        <f aca="false">SUMIFS('W Site Monthly'!$O$6:$O$365,'W Site Monthly'!$C$6:$C$365,AK$6)</f>
        <v>35025.615986087</v>
      </c>
      <c r="AL14" s="81" t="n">
        <f aca="false">SUMIFS('W Site Monthly'!$O$6:$O$365,'W Site Monthly'!$C$6:$C$365,AL$6)</f>
        <v>38260.8775846957</v>
      </c>
      <c r="AM14" s="81" t="n">
        <f aca="false">SUMIFS('W Site Monthly'!$O$6:$O$365,'W Site Monthly'!$C$6:$C$365,AM$6)</f>
        <v>36643.2467853913</v>
      </c>
      <c r="AN14" s="81" t="n">
        <f aca="false">SUMIFS('W Site Monthly'!$O$6:$O$365,'W Site Monthly'!$C$6:$C$365,AN$6)</f>
        <v>35025.615986087</v>
      </c>
      <c r="AO14" s="81" t="n">
        <f aca="false">SUMIFS('W Site Monthly'!$O$6:$O$365,'W Site Monthly'!$C$6:$C$365,AO$6)</f>
        <v>28555.0927888696</v>
      </c>
      <c r="AP14" s="81" t="n">
        <f aca="false">SUMIFS('W Site Monthly'!$O$6:$O$365,'W Site Monthly'!$C$6:$C$365,AP$6)</f>
        <v>28555.0927888696</v>
      </c>
      <c r="AQ14" s="81" t="n">
        <f aca="false">SUMIFS('W Site Monthly'!$O$6:$O$365,'W Site Monthly'!$C$6:$C$365,AQ$6)</f>
        <v>31790.3543874783</v>
      </c>
    </row>
    <row r="15" customFormat="false" ht="21" hidden="false" customHeight="true" outlineLevel="0" collapsed="false">
      <c r="C15" s="74" t="s">
        <v>769</v>
      </c>
      <c r="D15" s="109" t="n">
        <f aca="false">SUM(H15:S15)</f>
        <v>1886769.85407066</v>
      </c>
      <c r="E15" s="109" t="n">
        <f aca="false">SUM(T15:AE15)</f>
        <v>2404896</v>
      </c>
      <c r="F15" s="109" t="n">
        <f aca="false">SUM(AF15:AQ15)</f>
        <v>2501091.84</v>
      </c>
      <c r="G15" s="79"/>
      <c r="H15" s="81" t="n">
        <f aca="false">SUMIFS('W Site Monthly'!$P$6:$P$365,'W Site Monthly'!$C$6:$C$365,H$6)</f>
        <v>39466.6666666667</v>
      </c>
      <c r="I15" s="81" t="n">
        <f aca="false">SUMIFS('W Site Monthly'!$P$6:$P$365,'W Site Monthly'!$C$6:$C$365,I$6)</f>
        <v>81625.8064516129</v>
      </c>
      <c r="J15" s="81" t="n">
        <f aca="false">SUMIFS('W Site Monthly'!$P$6:$P$365,'W Site Monthly'!$C$6:$C$365,J$6)</f>
        <v>101966.666666667</v>
      </c>
      <c r="K15" s="81" t="n">
        <f aca="false">SUMIFS('W Site Monthly'!$P$6:$P$365,'W Site Monthly'!$C$6:$C$365,K$6)</f>
        <v>128200</v>
      </c>
      <c r="L15" s="81" t="n">
        <f aca="false">SUMIFS('W Site Monthly'!$P$6:$P$365,'W Site Monthly'!$C$6:$C$365,L$6)</f>
        <v>156200</v>
      </c>
      <c r="M15" s="81" t="n">
        <f aca="false">SUMIFS('W Site Monthly'!$P$6:$P$365,'W Site Monthly'!$C$6:$C$365,M$6)</f>
        <v>157110.714285714</v>
      </c>
      <c r="N15" s="81" t="n">
        <f aca="false">SUMIFS('W Site Monthly'!$P$6:$P$365,'W Site Monthly'!$C$6:$C$365,N$6)</f>
        <v>214700</v>
      </c>
      <c r="O15" s="81" t="n">
        <f aca="false">SUMIFS('W Site Monthly'!$P$6:$P$365,'W Site Monthly'!$C$6:$C$365,O$6)</f>
        <v>214700</v>
      </c>
      <c r="P15" s="81" t="n">
        <f aca="false">SUMIFS('W Site Monthly'!$P$6:$P$365,'W Site Monthly'!$C$6:$C$365,P$6)</f>
        <v>181700</v>
      </c>
      <c r="Q15" s="81" t="n">
        <f aca="false">SUMIFS('W Site Monthly'!$P$6:$P$365,'W Site Monthly'!$C$6:$C$365,Q$6)</f>
        <v>214700</v>
      </c>
      <c r="R15" s="81" t="n">
        <f aca="false">SUMIFS('W Site Monthly'!$P$6:$P$365,'W Site Monthly'!$C$6:$C$365,R$6)</f>
        <v>214700</v>
      </c>
      <c r="S15" s="81" t="n">
        <f aca="false">SUMIFS('W Site Monthly'!$P$6:$P$365,'W Site Monthly'!$C$6:$C$365,S$6)</f>
        <v>181700</v>
      </c>
      <c r="T15" s="81" t="n">
        <f aca="false">SUMIFS('W Site Monthly'!$P$6:$P$365,'W Site Monthly'!$C$6:$C$365,T$6)</f>
        <v>188968</v>
      </c>
      <c r="U15" s="81" t="n">
        <f aca="false">SUMIFS('W Site Monthly'!$P$6:$P$365,'W Site Monthly'!$C$6:$C$365,U$6)</f>
        <v>188968</v>
      </c>
      <c r="V15" s="81" t="n">
        <f aca="false">SUMIFS('W Site Monthly'!$P$6:$P$365,'W Site Monthly'!$C$6:$C$365,V$6)</f>
        <v>188968</v>
      </c>
      <c r="W15" s="81" t="n">
        <f aca="false">SUMIFS('W Site Monthly'!$P$6:$P$365,'W Site Monthly'!$C$6:$C$365,W$6)</f>
        <v>188968</v>
      </c>
      <c r="X15" s="81" t="n">
        <f aca="false">SUMIFS('W Site Monthly'!$P$6:$P$365,'W Site Monthly'!$C$6:$C$365,X$6)</f>
        <v>188968</v>
      </c>
      <c r="Y15" s="81" t="n">
        <f aca="false">SUMIFS('W Site Monthly'!$P$6:$P$365,'W Site Monthly'!$C$6:$C$365,Y$6)</f>
        <v>188968</v>
      </c>
      <c r="Z15" s="81" t="n">
        <f aca="false">SUMIFS('W Site Monthly'!$P$6:$P$365,'W Site Monthly'!$C$6:$C$365,Z$6)</f>
        <v>223288</v>
      </c>
      <c r="AA15" s="81" t="n">
        <f aca="false">SUMIFS('W Site Monthly'!$P$6:$P$365,'W Site Monthly'!$C$6:$C$365,AA$6)</f>
        <v>223288</v>
      </c>
      <c r="AB15" s="81" t="n">
        <f aca="false">SUMIFS('W Site Monthly'!$P$6:$P$365,'W Site Monthly'!$C$6:$C$365,AB$6)</f>
        <v>188968</v>
      </c>
      <c r="AC15" s="81" t="n">
        <f aca="false">SUMIFS('W Site Monthly'!$P$6:$P$365,'W Site Monthly'!$C$6:$C$365,AC$6)</f>
        <v>223288</v>
      </c>
      <c r="AD15" s="81" t="n">
        <f aca="false">SUMIFS('W Site Monthly'!$P$6:$P$365,'W Site Monthly'!$C$6:$C$365,AD$6)</f>
        <v>223288</v>
      </c>
      <c r="AE15" s="81" t="n">
        <f aca="false">SUMIFS('W Site Monthly'!$P$6:$P$365,'W Site Monthly'!$C$6:$C$365,AE$6)</f>
        <v>188968</v>
      </c>
      <c r="AF15" s="81" t="n">
        <f aca="false">SUMIFS('W Site Monthly'!$P$6:$P$365,'W Site Monthly'!$C$6:$C$365,AF$6)</f>
        <v>196526.72</v>
      </c>
      <c r="AG15" s="81" t="n">
        <f aca="false">SUMIFS('W Site Monthly'!$P$6:$P$365,'W Site Monthly'!$C$6:$C$365,AG$6)</f>
        <v>196526.72</v>
      </c>
      <c r="AH15" s="81" t="n">
        <f aca="false">SUMIFS('W Site Monthly'!$P$6:$P$365,'W Site Monthly'!$C$6:$C$365,AH$6)</f>
        <v>196526.72</v>
      </c>
      <c r="AI15" s="81" t="n">
        <f aca="false">SUMIFS('W Site Monthly'!$P$6:$P$365,'W Site Monthly'!$C$6:$C$365,AI$6)</f>
        <v>196526.72</v>
      </c>
      <c r="AJ15" s="81" t="n">
        <f aca="false">SUMIFS('W Site Monthly'!$P$6:$P$365,'W Site Monthly'!$C$6:$C$365,AJ$6)</f>
        <v>196526.72</v>
      </c>
      <c r="AK15" s="81" t="n">
        <f aca="false">SUMIFS('W Site Monthly'!$P$6:$P$365,'W Site Monthly'!$C$6:$C$365,AK$6)</f>
        <v>196526.72</v>
      </c>
      <c r="AL15" s="81" t="n">
        <f aca="false">SUMIFS('W Site Monthly'!$P$6:$P$365,'W Site Monthly'!$C$6:$C$365,AL$6)</f>
        <v>232219.52</v>
      </c>
      <c r="AM15" s="81" t="n">
        <f aca="false">SUMIFS('W Site Monthly'!$P$6:$P$365,'W Site Monthly'!$C$6:$C$365,AM$6)</f>
        <v>232219.52</v>
      </c>
      <c r="AN15" s="81" t="n">
        <f aca="false">SUMIFS('W Site Monthly'!$P$6:$P$365,'W Site Monthly'!$C$6:$C$365,AN$6)</f>
        <v>196526.72</v>
      </c>
      <c r="AO15" s="81" t="n">
        <f aca="false">SUMIFS('W Site Monthly'!$P$6:$P$365,'W Site Monthly'!$C$6:$C$365,AO$6)</f>
        <v>232219.52</v>
      </c>
      <c r="AP15" s="81" t="n">
        <f aca="false">SUMIFS('W Site Monthly'!$P$6:$P$365,'W Site Monthly'!$C$6:$C$365,AP$6)</f>
        <v>232219.52</v>
      </c>
      <c r="AQ15" s="81" t="n">
        <f aca="false">SUMIFS('W Site Monthly'!$P$6:$P$365,'W Site Monthly'!$C$6:$C$365,AQ$6)</f>
        <v>196526.72</v>
      </c>
    </row>
    <row r="16" customFormat="false" ht="21" hidden="false" customHeight="true" outlineLevel="0" collapsed="false">
      <c r="C16" s="74" t="s">
        <v>770</v>
      </c>
      <c r="D16" s="109" t="n">
        <f aca="false">SUM(H16:S16)</f>
        <v>797539.65850531</v>
      </c>
      <c r="E16" s="109" t="n">
        <f aca="false">SUM(T16:AE16)</f>
        <v>1236105.95130435</v>
      </c>
      <c r="F16" s="109" t="n">
        <f aca="false">SUM(AF16:AQ16)</f>
        <v>1352591.96903096</v>
      </c>
      <c r="G16" s="79"/>
      <c r="H16" s="81" t="n">
        <f aca="false">SUMIFS('W Site Monthly'!$Q$6:$Q$365,'W Site Monthly'!$C$6:$C$365,H$6)</f>
        <v>9600</v>
      </c>
      <c r="I16" s="81" t="n">
        <f aca="false">SUMIFS('W Site Monthly'!$Q$6:$Q$365,'W Site Monthly'!$C$6:$C$365,I$6)</f>
        <v>20591.6162692847</v>
      </c>
      <c r="J16" s="81" t="n">
        <f aca="false">SUMIFS('W Site Monthly'!$Q$6:$Q$365,'W Site Monthly'!$C$6:$C$365,J$6)</f>
        <v>31168.1391304348</v>
      </c>
      <c r="K16" s="81" t="n">
        <f aca="false">SUMIFS('W Site Monthly'!$Q$6:$Q$365,'W Site Monthly'!$C$6:$C$365,K$6)</f>
        <v>49968.4</v>
      </c>
      <c r="L16" s="81" t="n">
        <f aca="false">SUMIFS('W Site Monthly'!$Q$6:$Q$365,'W Site Monthly'!$C$6:$C$365,L$6)</f>
        <v>67149.4347826087</v>
      </c>
      <c r="M16" s="81" t="n">
        <f aca="false">SUMIFS('W Site Monthly'!$Q$6:$Q$365,'W Site Monthly'!$C$6:$C$365,M$6)</f>
        <v>72852.0248447205</v>
      </c>
      <c r="N16" s="81" t="n">
        <f aca="false">SUMIFS('W Site Monthly'!$Q$6:$Q$365,'W Site Monthly'!$C$6:$C$365,N$6)</f>
        <v>100903.565217391</v>
      </c>
      <c r="O16" s="81" t="n">
        <f aca="false">SUMIFS('W Site Monthly'!$Q$6:$Q$365,'W Site Monthly'!$C$6:$C$365,O$6)</f>
        <v>100679.956521739</v>
      </c>
      <c r="P16" s="81" t="n">
        <f aca="false">SUMIFS('W Site Monthly'!$Q$6:$Q$365,'W Site Monthly'!$C$6:$C$365,P$6)</f>
        <v>90530.4347826087</v>
      </c>
      <c r="Q16" s="81" t="n">
        <f aca="false">SUMIFS('W Site Monthly'!$Q$6:$Q$365,'W Site Monthly'!$C$6:$C$365,Q$6)</f>
        <v>84932.347826087</v>
      </c>
      <c r="R16" s="81" t="n">
        <f aca="false">SUMIFS('W Site Monthly'!$Q$6:$Q$365,'W Site Monthly'!$C$6:$C$365,R$6)</f>
        <v>84932.347826087</v>
      </c>
      <c r="S16" s="81" t="n">
        <f aca="false">SUMIFS('W Site Monthly'!$Q$6:$Q$365,'W Site Monthly'!$C$6:$C$365,S$6)</f>
        <v>84231.3913043478</v>
      </c>
      <c r="T16" s="81" t="n">
        <f aca="false">SUMIFS('W Site Monthly'!$Q$6:$Q$365,'W Site Monthly'!$C$6:$C$365,T$6)</f>
        <v>100582.162608696</v>
      </c>
      <c r="U16" s="81" t="n">
        <f aca="false">SUMIFS('W Site Monthly'!$Q$6:$Q$365,'W Site Monthly'!$C$6:$C$365,U$6)</f>
        <v>104150.57073913</v>
      </c>
      <c r="V16" s="81" t="n">
        <f aca="false">SUMIFS('W Site Monthly'!$Q$6:$Q$365,'W Site Monthly'!$C$6:$C$365,V$6)</f>
        <v>107718.978869565</v>
      </c>
      <c r="W16" s="81" t="n">
        <f aca="false">SUMIFS('W Site Monthly'!$Q$6:$Q$365,'W Site Monthly'!$C$6:$C$365,W$6)</f>
        <v>111287.387</v>
      </c>
      <c r="X16" s="81" t="n">
        <f aca="false">SUMIFS('W Site Monthly'!$Q$6:$Q$365,'W Site Monthly'!$C$6:$C$365,X$6)</f>
        <v>104150.57073913</v>
      </c>
      <c r="Y16" s="81" t="n">
        <f aca="false">SUMIFS('W Site Monthly'!$Q$6:$Q$365,'W Site Monthly'!$C$6:$C$365,Y$6)</f>
        <v>100582.162608696</v>
      </c>
      <c r="Z16" s="81" t="n">
        <f aca="false">SUMIFS('W Site Monthly'!$Q$6:$Q$365,'W Site Monthly'!$C$6:$C$365,Z$6)</f>
        <v>114998.978869565</v>
      </c>
      <c r="AA16" s="81" t="n">
        <f aca="false">SUMIFS('W Site Monthly'!$Q$6:$Q$365,'W Site Monthly'!$C$6:$C$365,AA$6)</f>
        <v>111430.57073913</v>
      </c>
      <c r="AB16" s="81" t="n">
        <f aca="false">SUMIFS('W Site Monthly'!$Q$6:$Q$365,'W Site Monthly'!$C$6:$C$365,AB$6)</f>
        <v>100582.162608696</v>
      </c>
      <c r="AC16" s="81" t="n">
        <f aca="false">SUMIFS('W Site Monthly'!$Q$6:$Q$365,'W Site Monthly'!$C$6:$C$365,AC$6)</f>
        <v>93588.5300869565</v>
      </c>
      <c r="AD16" s="81" t="n">
        <f aca="false">SUMIFS('W Site Monthly'!$Q$6:$Q$365,'W Site Monthly'!$C$6:$C$365,AD$6)</f>
        <v>93588.5300869565</v>
      </c>
      <c r="AE16" s="81" t="n">
        <f aca="false">SUMIFS('W Site Monthly'!$Q$6:$Q$365,'W Site Monthly'!$C$6:$C$365,AE$6)</f>
        <v>93445.3463478261</v>
      </c>
      <c r="AF16" s="81" t="n">
        <f aca="false">SUMIFS('W Site Monthly'!$Q$6:$Q$365,'W Site Monthly'!$C$6:$C$365,AF$6)</f>
        <v>110192.264085913</v>
      </c>
      <c r="AG16" s="81" t="n">
        <f aca="false">SUMIFS('W Site Monthly'!$Q$6:$Q$365,'W Site Monthly'!$C$6:$C$365,AG$6)</f>
        <v>114161.761290209</v>
      </c>
      <c r="AH16" s="81" t="n">
        <f aca="false">SUMIFS('W Site Monthly'!$Q$6:$Q$365,'W Site Monthly'!$C$6:$C$365,AH$6)</f>
        <v>118131.258494504</v>
      </c>
      <c r="AI16" s="81" t="n">
        <f aca="false">SUMIFS('W Site Monthly'!$Q$6:$Q$365,'W Site Monthly'!$C$6:$C$365,AI$6)</f>
        <v>122100.7556988</v>
      </c>
      <c r="AJ16" s="81" t="n">
        <f aca="false">SUMIFS('W Site Monthly'!$Q$6:$Q$365,'W Site Monthly'!$C$6:$C$365,AJ$6)</f>
        <v>114161.761290209</v>
      </c>
      <c r="AK16" s="81" t="n">
        <f aca="false">SUMIFS('W Site Monthly'!$Q$6:$Q$365,'W Site Monthly'!$C$6:$C$365,AK$6)</f>
        <v>110192.264085913</v>
      </c>
      <c r="AL16" s="81" t="n">
        <f aca="false">SUMIFS('W Site Monthly'!$Q$6:$Q$365,'W Site Monthly'!$C$6:$C$365,AL$6)</f>
        <v>125702.458494504</v>
      </c>
      <c r="AM16" s="81" t="n">
        <f aca="false">SUMIFS('W Site Monthly'!$Q$6:$Q$365,'W Site Monthly'!$C$6:$C$365,AM$6)</f>
        <v>121732.961290209</v>
      </c>
      <c r="AN16" s="81" t="n">
        <f aca="false">SUMIFS('W Site Monthly'!$Q$6:$Q$365,'W Site Monthly'!$C$6:$C$365,AN$6)</f>
        <v>110192.264085913</v>
      </c>
      <c r="AO16" s="81" t="n">
        <f aca="false">SUMIFS('W Site Monthly'!$Q$6:$Q$365,'W Site Monthly'!$C$6:$C$365,AO$6)</f>
        <v>101885.47526873</v>
      </c>
      <c r="AP16" s="81" t="n">
        <f aca="false">SUMIFS('W Site Monthly'!$Q$6:$Q$365,'W Site Monthly'!$C$6:$C$365,AP$6)</f>
        <v>101885.47526873</v>
      </c>
      <c r="AQ16" s="81" t="n">
        <f aca="false">SUMIFS('W Site Monthly'!$Q$6:$Q$365,'W Site Monthly'!$C$6:$C$365,AQ$6)</f>
        <v>102253.269677322</v>
      </c>
    </row>
    <row r="17" customFormat="false" ht="21" hidden="false" customHeight="true" outlineLevel="0" collapsed="false">
      <c r="C17" s="74" t="s">
        <v>771</v>
      </c>
      <c r="D17" s="109" t="n">
        <f aca="false">SUM(H17:S17)</f>
        <v>0</v>
      </c>
      <c r="E17" s="109" t="n">
        <f aca="false">SUM(T17:AE17)</f>
        <v>0</v>
      </c>
      <c r="F17" s="109" t="n">
        <f aca="false">SUM(AF17:AQ17)</f>
        <v>0</v>
      </c>
      <c r="G17" s="79"/>
      <c r="H17" s="81" t="n">
        <f aca="false">SUMIFS('W Site Monthly'!$R$6:$R$365,'W Site Monthly'!$C$6:$C$365,H$6)</f>
        <v>0</v>
      </c>
      <c r="I17" s="81" t="n">
        <f aca="false">SUMIFS('W Site Monthly'!$R$6:$R$365,'W Site Monthly'!$C$6:$C$365,I$6)</f>
        <v>0</v>
      </c>
      <c r="J17" s="81" t="n">
        <f aca="false">SUMIFS('W Site Monthly'!$R$6:$R$365,'W Site Monthly'!$C$6:$C$365,J$6)</f>
        <v>0</v>
      </c>
      <c r="K17" s="81" t="n">
        <f aca="false">SUMIFS('W Site Monthly'!$R$6:$R$365,'W Site Monthly'!$C$6:$C$365,K$6)</f>
        <v>0</v>
      </c>
      <c r="L17" s="81" t="n">
        <f aca="false">SUMIFS('W Site Monthly'!$R$6:$R$365,'W Site Monthly'!$C$6:$C$365,L$6)</f>
        <v>0</v>
      </c>
      <c r="M17" s="81" t="n">
        <f aca="false">SUMIFS('W Site Monthly'!$R$6:$R$365,'W Site Monthly'!$C$6:$C$365,M$6)</f>
        <v>0</v>
      </c>
      <c r="N17" s="81" t="n">
        <f aca="false">SUMIFS('W Site Monthly'!$R$6:$R$365,'W Site Monthly'!$C$6:$C$365,N$6)</f>
        <v>0</v>
      </c>
      <c r="O17" s="81" t="n">
        <f aca="false">SUMIFS('W Site Monthly'!$R$6:$R$365,'W Site Monthly'!$C$6:$C$365,O$6)</f>
        <v>0</v>
      </c>
      <c r="P17" s="81" t="n">
        <f aca="false">SUMIFS('W Site Monthly'!$R$6:$R$365,'W Site Monthly'!$C$6:$C$365,P$6)</f>
        <v>0</v>
      </c>
      <c r="Q17" s="81" t="n">
        <f aca="false">SUMIFS('W Site Monthly'!$R$6:$R$365,'W Site Monthly'!$C$6:$C$365,Q$6)</f>
        <v>0</v>
      </c>
      <c r="R17" s="81" t="n">
        <f aca="false">SUMIFS('W Site Monthly'!$R$6:$R$365,'W Site Monthly'!$C$6:$C$365,R$6)</f>
        <v>0</v>
      </c>
      <c r="S17" s="81" t="n">
        <f aca="false">SUMIFS('W Site Monthly'!$R$6:$R$365,'W Site Monthly'!$C$6:$C$365,S$6)</f>
        <v>0</v>
      </c>
      <c r="T17" s="81" t="n">
        <f aca="false">SUMIFS('W Site Monthly'!$R$6:$R$365,'W Site Monthly'!$C$6:$C$365,T$6)</f>
        <v>0</v>
      </c>
      <c r="U17" s="81" t="n">
        <f aca="false">SUMIFS('W Site Monthly'!$R$6:$R$365,'W Site Monthly'!$C$6:$C$365,U$6)</f>
        <v>0</v>
      </c>
      <c r="V17" s="81" t="n">
        <f aca="false">SUMIFS('W Site Monthly'!$R$6:$R$365,'W Site Monthly'!$C$6:$C$365,V$6)</f>
        <v>0</v>
      </c>
      <c r="W17" s="81" t="n">
        <f aca="false">SUMIFS('W Site Monthly'!$R$6:$R$365,'W Site Monthly'!$C$6:$C$365,W$6)</f>
        <v>0</v>
      </c>
      <c r="X17" s="81" t="n">
        <f aca="false">SUMIFS('W Site Monthly'!$R$6:$R$365,'W Site Monthly'!$C$6:$C$365,X$6)</f>
        <v>0</v>
      </c>
      <c r="Y17" s="81" t="n">
        <f aca="false">SUMIFS('W Site Monthly'!$R$6:$R$365,'W Site Monthly'!$C$6:$C$365,Y$6)</f>
        <v>0</v>
      </c>
      <c r="Z17" s="81" t="n">
        <f aca="false">SUMIFS('W Site Monthly'!$R$6:$R$365,'W Site Monthly'!$C$6:$C$365,Z$6)</f>
        <v>0</v>
      </c>
      <c r="AA17" s="81" t="n">
        <f aca="false">SUMIFS('W Site Monthly'!$R$6:$R$365,'W Site Monthly'!$C$6:$C$365,AA$6)</f>
        <v>0</v>
      </c>
      <c r="AB17" s="81" t="n">
        <f aca="false">SUMIFS('W Site Monthly'!$R$6:$R$365,'W Site Monthly'!$C$6:$C$365,AB$6)</f>
        <v>0</v>
      </c>
      <c r="AC17" s="81" t="n">
        <f aca="false">SUMIFS('W Site Monthly'!$R$6:$R$365,'W Site Monthly'!$C$6:$C$365,AC$6)</f>
        <v>0</v>
      </c>
      <c r="AD17" s="81" t="n">
        <f aca="false">SUMIFS('W Site Monthly'!$R$6:$R$365,'W Site Monthly'!$C$6:$C$365,AD$6)</f>
        <v>0</v>
      </c>
      <c r="AE17" s="81" t="n">
        <f aca="false">SUMIFS('W Site Monthly'!$R$6:$R$365,'W Site Monthly'!$C$6:$C$365,AE$6)</f>
        <v>0</v>
      </c>
      <c r="AF17" s="81" t="n">
        <f aca="false">SUMIFS('W Site Monthly'!$R$6:$R$365,'W Site Monthly'!$C$6:$C$365,AF$6)</f>
        <v>0</v>
      </c>
      <c r="AG17" s="81" t="n">
        <f aca="false">SUMIFS('W Site Monthly'!$R$6:$R$365,'W Site Monthly'!$C$6:$C$365,AG$6)</f>
        <v>0</v>
      </c>
      <c r="AH17" s="81" t="n">
        <f aca="false">SUMIFS('W Site Monthly'!$R$6:$R$365,'W Site Monthly'!$C$6:$C$365,AH$6)</f>
        <v>0</v>
      </c>
      <c r="AI17" s="81" t="n">
        <f aca="false">SUMIFS('W Site Monthly'!$R$6:$R$365,'W Site Monthly'!$C$6:$C$365,AI$6)</f>
        <v>0</v>
      </c>
      <c r="AJ17" s="81" t="n">
        <f aca="false">SUMIFS('W Site Monthly'!$R$6:$R$365,'W Site Monthly'!$C$6:$C$365,AJ$6)</f>
        <v>0</v>
      </c>
      <c r="AK17" s="81" t="n">
        <f aca="false">SUMIFS('W Site Monthly'!$R$6:$R$365,'W Site Monthly'!$C$6:$C$365,AK$6)</f>
        <v>0</v>
      </c>
      <c r="AL17" s="81" t="n">
        <f aca="false">SUMIFS('W Site Monthly'!$R$6:$R$365,'W Site Monthly'!$C$6:$C$365,AL$6)</f>
        <v>0</v>
      </c>
      <c r="AM17" s="81" t="n">
        <f aca="false">SUMIFS('W Site Monthly'!$R$6:$R$365,'W Site Monthly'!$C$6:$C$365,AM$6)</f>
        <v>0</v>
      </c>
      <c r="AN17" s="81" t="n">
        <f aca="false">SUMIFS('W Site Monthly'!$R$6:$R$365,'W Site Monthly'!$C$6:$C$365,AN$6)</f>
        <v>0</v>
      </c>
      <c r="AO17" s="81" t="n">
        <f aca="false">SUMIFS('W Site Monthly'!$R$6:$R$365,'W Site Monthly'!$C$6:$C$365,AO$6)</f>
        <v>0</v>
      </c>
      <c r="AP17" s="81" t="n">
        <f aca="false">SUMIFS('W Site Monthly'!$R$6:$R$365,'W Site Monthly'!$C$6:$C$365,AP$6)</f>
        <v>0</v>
      </c>
      <c r="AQ17" s="81" t="n">
        <f aca="false">SUMIFS('W Site Monthly'!$R$6:$R$365,'W Site Monthly'!$C$6:$C$365,AQ$6)</f>
        <v>0</v>
      </c>
    </row>
    <row r="18" customFormat="false" ht="21" hidden="false" customHeight="true" outlineLevel="0" collapsed="false">
      <c r="C18" s="74" t="s">
        <v>772</v>
      </c>
      <c r="D18" s="109" t="n">
        <f aca="false">SUM(H18:S18)</f>
        <v>230000</v>
      </c>
      <c r="E18" s="109" t="n">
        <f aca="false">SUM(T18:AE18)</f>
        <v>0</v>
      </c>
      <c r="F18" s="109" t="n">
        <f aca="false">SUM(AF18:AQ18)</f>
        <v>0</v>
      </c>
      <c r="G18" s="79"/>
      <c r="H18" s="81" t="n">
        <f aca="false">SUMIFS('W Site Monthly'!$U$6:$U$365,'W Site Monthly'!$C$6:$C$365,H$6)</f>
        <v>55000</v>
      </c>
      <c r="I18" s="81" t="n">
        <f aca="false">SUMIFS('W Site Monthly'!$U$6:$U$365,'W Site Monthly'!$C$6:$C$365,I$6)</f>
        <v>25000</v>
      </c>
      <c r="J18" s="81" t="n">
        <f aca="false">SUMIFS('W Site Monthly'!$U$6:$U$365,'W Site Monthly'!$C$6:$C$365,J$6)</f>
        <v>35000</v>
      </c>
      <c r="K18" s="81" t="n">
        <f aca="false">SUMIFS('W Site Monthly'!$U$6:$U$365,'W Site Monthly'!$C$6:$C$365,K$6)</f>
        <v>55000</v>
      </c>
      <c r="L18" s="81" t="n">
        <f aca="false">SUMIFS('W Site Monthly'!$U$6:$U$365,'W Site Monthly'!$C$6:$C$365,L$6)</f>
        <v>60000</v>
      </c>
      <c r="M18" s="81" t="n">
        <f aca="false">SUMIFS('W Site Monthly'!$U$6:$U$365,'W Site Monthly'!$C$6:$C$365,M$6)</f>
        <v>0</v>
      </c>
      <c r="N18" s="81" t="n">
        <f aca="false">SUMIFS('W Site Monthly'!$U$6:$U$365,'W Site Monthly'!$C$6:$C$365,N$6)</f>
        <v>0</v>
      </c>
      <c r="O18" s="81" t="n">
        <f aca="false">SUMIFS('W Site Monthly'!$U$6:$U$365,'W Site Monthly'!$C$6:$C$365,O$6)</f>
        <v>0</v>
      </c>
      <c r="P18" s="81" t="n">
        <f aca="false">SUMIFS('W Site Monthly'!$U$6:$U$365,'W Site Monthly'!$C$6:$C$365,P$6)</f>
        <v>0</v>
      </c>
      <c r="Q18" s="81" t="n">
        <f aca="false">SUMIFS('W Site Monthly'!$U$6:$U$365,'W Site Monthly'!$C$6:$C$365,Q$6)</f>
        <v>0</v>
      </c>
      <c r="R18" s="81" t="n">
        <f aca="false">SUMIFS('W Site Monthly'!$U$6:$U$365,'W Site Monthly'!$C$6:$C$365,R$6)</f>
        <v>0</v>
      </c>
      <c r="S18" s="81" t="n">
        <f aca="false">SUMIFS('W Site Monthly'!$U$6:$U$365,'W Site Monthly'!$C$6:$C$365,S$6)</f>
        <v>0</v>
      </c>
      <c r="T18" s="81" t="n">
        <f aca="false">SUMIFS('W Site Monthly'!$U$6:$U$365,'W Site Monthly'!$C$6:$C$365,T$6)</f>
        <v>0</v>
      </c>
      <c r="U18" s="81" t="n">
        <f aca="false">SUMIFS('W Site Monthly'!$U$6:$U$365,'W Site Monthly'!$C$6:$C$365,U$6)</f>
        <v>0</v>
      </c>
      <c r="V18" s="81" t="n">
        <f aca="false">SUMIFS('W Site Monthly'!$U$6:$U$365,'W Site Monthly'!$C$6:$C$365,V$6)</f>
        <v>0</v>
      </c>
      <c r="W18" s="81" t="n">
        <f aca="false">SUMIFS('W Site Monthly'!$U$6:$U$365,'W Site Monthly'!$C$6:$C$365,W$6)</f>
        <v>0</v>
      </c>
      <c r="X18" s="81" t="n">
        <f aca="false">SUMIFS('W Site Monthly'!$U$6:$U$365,'W Site Monthly'!$C$6:$C$365,X$6)</f>
        <v>0</v>
      </c>
      <c r="Y18" s="81" t="n">
        <f aca="false">SUMIFS('W Site Monthly'!$U$6:$U$365,'W Site Monthly'!$C$6:$C$365,Y$6)</f>
        <v>0</v>
      </c>
      <c r="Z18" s="81" t="n">
        <f aca="false">SUMIFS('W Site Monthly'!$U$6:$U$365,'W Site Monthly'!$C$6:$C$365,Z$6)</f>
        <v>0</v>
      </c>
      <c r="AA18" s="81" t="n">
        <f aca="false">SUMIFS('W Site Monthly'!$U$6:$U$365,'W Site Monthly'!$C$6:$C$365,AA$6)</f>
        <v>0</v>
      </c>
      <c r="AB18" s="81" t="n">
        <f aca="false">SUMIFS('W Site Monthly'!$U$6:$U$365,'W Site Monthly'!$C$6:$C$365,AB$6)</f>
        <v>0</v>
      </c>
      <c r="AC18" s="81" t="n">
        <f aca="false">SUMIFS('W Site Monthly'!$U$6:$U$365,'W Site Monthly'!$C$6:$C$365,AC$6)</f>
        <v>0</v>
      </c>
      <c r="AD18" s="81" t="n">
        <f aca="false">SUMIFS('W Site Monthly'!$U$6:$U$365,'W Site Monthly'!$C$6:$C$365,AD$6)</f>
        <v>0</v>
      </c>
      <c r="AE18" s="81" t="n">
        <f aca="false">SUMIFS('W Site Monthly'!$U$6:$U$365,'W Site Monthly'!$C$6:$C$365,AE$6)</f>
        <v>0</v>
      </c>
      <c r="AF18" s="81" t="n">
        <f aca="false">SUMIFS('W Site Monthly'!$U$6:$U$365,'W Site Monthly'!$C$6:$C$365,AF$6)</f>
        <v>0</v>
      </c>
      <c r="AG18" s="81" t="n">
        <f aca="false">SUMIFS('W Site Monthly'!$U$6:$U$365,'W Site Monthly'!$C$6:$C$365,AG$6)</f>
        <v>0</v>
      </c>
      <c r="AH18" s="81" t="n">
        <f aca="false">SUMIFS('W Site Monthly'!$U$6:$U$365,'W Site Monthly'!$C$6:$C$365,AH$6)</f>
        <v>0</v>
      </c>
      <c r="AI18" s="81" t="n">
        <f aca="false">SUMIFS('W Site Monthly'!$U$6:$U$365,'W Site Monthly'!$C$6:$C$365,AI$6)</f>
        <v>0</v>
      </c>
      <c r="AJ18" s="81" t="n">
        <f aca="false">SUMIFS('W Site Monthly'!$U$6:$U$365,'W Site Monthly'!$C$6:$C$365,AJ$6)</f>
        <v>0</v>
      </c>
      <c r="AK18" s="81" t="n">
        <f aca="false">SUMIFS('W Site Monthly'!$U$6:$U$365,'W Site Monthly'!$C$6:$C$365,AK$6)</f>
        <v>0</v>
      </c>
      <c r="AL18" s="81" t="n">
        <f aca="false">SUMIFS('W Site Monthly'!$U$6:$U$365,'W Site Monthly'!$C$6:$C$365,AL$6)</f>
        <v>0</v>
      </c>
      <c r="AM18" s="81" t="n">
        <f aca="false">SUMIFS('W Site Monthly'!$U$6:$U$365,'W Site Monthly'!$C$6:$C$365,AM$6)</f>
        <v>0</v>
      </c>
      <c r="AN18" s="81" t="n">
        <f aca="false">SUMIFS('W Site Monthly'!$U$6:$U$365,'W Site Monthly'!$C$6:$C$365,AN$6)</f>
        <v>0</v>
      </c>
      <c r="AO18" s="81" t="n">
        <f aca="false">SUMIFS('W Site Monthly'!$U$6:$U$365,'W Site Monthly'!$C$6:$C$365,AO$6)</f>
        <v>0</v>
      </c>
      <c r="AP18" s="81" t="n">
        <f aca="false">SUMIFS('W Site Monthly'!$U$6:$U$365,'W Site Monthly'!$C$6:$C$365,AP$6)</f>
        <v>0</v>
      </c>
      <c r="AQ18" s="81" t="n">
        <f aca="false">SUMIFS('W Site Monthly'!$U$6:$U$365,'W Site Monthly'!$C$6:$C$365,AQ$6)</f>
        <v>0</v>
      </c>
    </row>
    <row r="19" customFormat="false" ht="21" hidden="false" customHeight="true" outlineLevel="0" collapsed="false">
      <c r="C19" s="86" t="s">
        <v>773</v>
      </c>
      <c r="D19" s="94" t="n">
        <f aca="false">SUM(H19:S19)</f>
        <v>7909287.5134442</v>
      </c>
      <c r="E19" s="94" t="n">
        <f aca="false">SUM(T19:AE19)</f>
        <v>10403307.36</v>
      </c>
      <c r="F19" s="94" t="n">
        <f aca="false">SUM(AF19:AQ19)</f>
        <v>10946613.300864</v>
      </c>
      <c r="G19" s="110"/>
      <c r="H19" s="94" t="n">
        <f aca="false">SUM(H12:H18)</f>
        <v>169933.333333333</v>
      </c>
      <c r="I19" s="94" t="n">
        <f aca="false">SUM(I12:I18)</f>
        <v>277153.607854137</v>
      </c>
      <c r="J19" s="94" t="n">
        <f aca="false">SUM(J12:J18)</f>
        <v>394552.457971015</v>
      </c>
      <c r="K19" s="94" t="n">
        <f aca="false">SUM(K12:K18)</f>
        <v>568460.4</v>
      </c>
      <c r="L19" s="94" t="n">
        <f aca="false">SUM(L12:L18)</f>
        <v>732462.565217391</v>
      </c>
      <c r="M19" s="94" t="n">
        <f aca="false">SUM(M12:M18)</f>
        <v>680819.453416149</v>
      </c>
      <c r="N19" s="94" t="n">
        <f aca="false">SUM(N12:N18)</f>
        <v>887702.695652174</v>
      </c>
      <c r="O19" s="94" t="n">
        <f aca="false">SUM(O12:O18)</f>
        <v>889853</v>
      </c>
      <c r="P19" s="94" t="n">
        <f aca="false">SUM(P12:P18)</f>
        <v>790920</v>
      </c>
      <c r="Q19" s="94" t="n">
        <f aca="false">SUM(Q12:Q18)</f>
        <v>867688</v>
      </c>
      <c r="R19" s="94" t="n">
        <f aca="false">SUM(R12:R18)</f>
        <v>867688</v>
      </c>
      <c r="S19" s="94" t="n">
        <f aca="false">SUM(S12:S18)</f>
        <v>782054</v>
      </c>
      <c r="T19" s="94" t="n">
        <f aca="false">SUM(T12:T18)</f>
        <v>834182.28</v>
      </c>
      <c r="U19" s="94" t="n">
        <f aca="false">SUM(U12:U18)</f>
        <v>839204.869</v>
      </c>
      <c r="V19" s="94" t="n">
        <f aca="false">SUM(V12:V18)</f>
        <v>844227.458</v>
      </c>
      <c r="W19" s="94" t="n">
        <f aca="false">SUM(W12:W18)</f>
        <v>849250.047</v>
      </c>
      <c r="X19" s="94" t="n">
        <f aca="false">SUM(X12:X18)</f>
        <v>839204.869</v>
      </c>
      <c r="Y19" s="94" t="n">
        <f aca="false">SUM(Y12:Y18)</f>
        <v>834182.28</v>
      </c>
      <c r="Z19" s="94" t="n">
        <f aca="false">SUM(Z12:Z18)</f>
        <v>942507.458</v>
      </c>
      <c r="AA19" s="94" t="n">
        <f aca="false">SUM(AA12:AA18)</f>
        <v>937484.869</v>
      </c>
      <c r="AB19" s="94" t="n">
        <f aca="false">SUM(AB12:AB18)</f>
        <v>834182.28</v>
      </c>
      <c r="AC19" s="94" t="n">
        <f aca="false">SUM(AC12:AC18)</f>
        <v>912371.924</v>
      </c>
      <c r="AD19" s="94" t="n">
        <f aca="false">SUM(AD12:AD18)</f>
        <v>912371.924</v>
      </c>
      <c r="AE19" s="94" t="n">
        <f aca="false">SUM(AE12:AE18)</f>
        <v>824137.102</v>
      </c>
      <c r="AF19" s="94" t="n">
        <f aca="false">SUM(AF12:AF18)</f>
        <v>878147.375072</v>
      </c>
      <c r="AG19" s="94" t="n">
        <f aca="false">SUM(AG12:AG18)</f>
        <v>883734.5030756</v>
      </c>
      <c r="AH19" s="94" t="n">
        <f aca="false">SUM(AH12:AH18)</f>
        <v>889321.6310792</v>
      </c>
      <c r="AI19" s="94" t="n">
        <f aca="false">SUM(AI12:AI18)</f>
        <v>894908.7590828</v>
      </c>
      <c r="AJ19" s="94" t="n">
        <f aca="false">SUM(AJ12:AJ18)</f>
        <v>883734.5030756</v>
      </c>
      <c r="AK19" s="94" t="n">
        <f aca="false">SUM(AK12:AK18)</f>
        <v>878147.375072</v>
      </c>
      <c r="AL19" s="94" t="n">
        <f aca="false">SUM(AL12:AL18)</f>
        <v>991532.8310792</v>
      </c>
      <c r="AM19" s="94" t="n">
        <f aca="false">SUM(AM12:AM18)</f>
        <v>985945.7030756</v>
      </c>
      <c r="AN19" s="94" t="n">
        <f aca="false">SUM(AN12:AN18)</f>
        <v>878147.375072</v>
      </c>
      <c r="AO19" s="94" t="n">
        <f aca="false">SUM(AO12:AO18)</f>
        <v>958010.0630576</v>
      </c>
      <c r="AP19" s="94" t="n">
        <f aca="false">SUM(AP12:AP18)</f>
        <v>958010.0630576</v>
      </c>
      <c r="AQ19" s="94" t="n">
        <f aca="false">SUM(AQ12:AQ18)</f>
        <v>866973.1190648</v>
      </c>
    </row>
    <row r="20" customFormat="false" ht="21" hidden="false" customHeight="true" outlineLevel="0" collapsed="false">
      <c r="C20" s="86" t="s">
        <v>774</v>
      </c>
      <c r="D20" s="94" t="n">
        <f aca="false">SUM(H20:S20)</f>
        <v>4271498.03164808</v>
      </c>
      <c r="E20" s="94" t="n">
        <f aca="false">SUM(T20:AE20)</f>
        <v>7392149.78782609</v>
      </c>
      <c r="F20" s="94" t="n">
        <f aca="false">SUM(AF20:AQ20)</f>
        <v>8502698.48637774</v>
      </c>
      <c r="G20" s="110"/>
      <c r="H20" s="94" t="n">
        <f aca="false">H7-H19</f>
        <v>-19328.8888888888</v>
      </c>
      <c r="I20" s="94" t="n">
        <f aca="false">I7-I19</f>
        <v>187809.414118747</v>
      </c>
      <c r="J20" s="94" t="n">
        <f aca="false">J7-J19</f>
        <v>105108.005797101</v>
      </c>
      <c r="K20" s="94" t="n">
        <f aca="false">K7-K19</f>
        <v>466112.933333333</v>
      </c>
      <c r="L20" s="94" t="n">
        <f aca="false">L7-L19</f>
        <v>306415.463768116</v>
      </c>
      <c r="M20" s="94" t="n">
        <f aca="false">M7-M19</f>
        <v>276558.973084886</v>
      </c>
      <c r="N20" s="94" t="n">
        <f aca="false">N7-N19</f>
        <v>577897.594202899</v>
      </c>
      <c r="O20" s="94" t="n">
        <f aca="false">O7-O19</f>
        <v>573242.072463768</v>
      </c>
      <c r="P20" s="94" t="n">
        <f aca="false">P7-P19</f>
        <v>384045.942028986</v>
      </c>
      <c r="Q20" s="94" t="n">
        <f aca="false">Q7-Q19</f>
        <v>400011.420289855</v>
      </c>
      <c r="R20" s="94" t="n">
        <f aca="false">R7-R19</f>
        <v>499631.420289855</v>
      </c>
      <c r="S20" s="94" t="n">
        <f aca="false">S7-S19</f>
        <v>513993.68115942</v>
      </c>
      <c r="T20" s="94" t="n">
        <f aca="false">T7-T19</f>
        <v>472777.148985507</v>
      </c>
      <c r="U20" s="94" t="n">
        <f aca="false">U7-U19</f>
        <v>670427.014768116</v>
      </c>
      <c r="V20" s="94" t="n">
        <f aca="false">V7-V19</f>
        <v>604083.880550725</v>
      </c>
      <c r="W20" s="94" t="n">
        <f aca="false">W7-W19</f>
        <v>960129.546333334</v>
      </c>
      <c r="X20" s="94" t="n">
        <f aca="false">X7-X19</f>
        <v>670427.014768116</v>
      </c>
      <c r="Y20" s="94" t="n">
        <f aca="false">Y7-Y19</f>
        <v>472777.148985507</v>
      </c>
      <c r="Z20" s="94" t="n">
        <f aca="false">Z7-Z19</f>
        <v>716998.280550725</v>
      </c>
      <c r="AA20" s="94" t="n">
        <f aca="false">AA7-AA19</f>
        <v>677744.214768116</v>
      </c>
      <c r="AB20" s="94" t="n">
        <f aca="false">AB7-AB19</f>
        <v>472777.148985507</v>
      </c>
      <c r="AC20" s="94" t="n">
        <f aca="false">AC7-AC19</f>
        <v>481473.885855073</v>
      </c>
      <c r="AD20" s="94" t="n">
        <f aca="false">AD7-AD19</f>
        <v>587071.085855073</v>
      </c>
      <c r="AE20" s="94" t="n">
        <f aca="false">AE7-AE19</f>
        <v>605463.41742029</v>
      </c>
      <c r="AF20" s="94" t="n">
        <f aca="false">AF7-AF19</f>
        <v>556073.553864812</v>
      </c>
      <c r="AG20" s="94" t="n">
        <f aca="false">AG7-AG19</f>
        <v>767639.324641386</v>
      </c>
      <c r="AH20" s="94" t="n">
        <f aca="false">AH7-AH19</f>
        <v>699372.515417959</v>
      </c>
      <c r="AI20" s="94" t="n">
        <f aca="false">AI7-AI19</f>
        <v>1078837.83419453</v>
      </c>
      <c r="AJ20" s="94" t="n">
        <f aca="false">AJ7-AJ19</f>
        <v>767639.324641386</v>
      </c>
      <c r="AK20" s="94" t="n">
        <f aca="false">AK7-AK19</f>
        <v>556073.553864812</v>
      </c>
      <c r="AL20" s="94" t="n">
        <f aca="false">AL7-AL19</f>
        <v>821027.37941796</v>
      </c>
      <c r="AM20" s="94" t="n">
        <f aca="false">AM7-AM19</f>
        <v>777361.156641386</v>
      </c>
      <c r="AN20" s="94" t="n">
        <f aca="false">AN7-AN19</f>
        <v>556073.553864812</v>
      </c>
      <c r="AO20" s="94" t="n">
        <f aca="false">AO7-AO19</f>
        <v>559030.042758516</v>
      </c>
      <c r="AP20" s="94" t="n">
        <f aca="false">AP7-AP19</f>
        <v>670963.074758516</v>
      </c>
      <c r="AQ20" s="94" t="n">
        <f aca="false">AQ7-AQ19</f>
        <v>692607.172311664</v>
      </c>
    </row>
    <row r="21" customFormat="false" ht="21" hidden="false" customHeight="true" outlineLevel="0" collapsed="false">
      <c r="C21" s="74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</row>
    <row r="22" customFormat="false" ht="21" hidden="false" customHeight="true" outlineLevel="0" collapsed="false">
      <c r="C22" s="74" t="s">
        <v>775</v>
      </c>
      <c r="D22" s="109" t="n">
        <f aca="false">SUM(H22:S22)</f>
        <v>407645</v>
      </c>
      <c r="E22" s="109" t="n">
        <f aca="false">SUM(T22:AE22)</f>
        <v>1264200</v>
      </c>
      <c r="F22" s="109" t="n">
        <f aca="false">SUM(AF22:AQ22)</f>
        <v>2723490</v>
      </c>
      <c r="G22" s="79"/>
      <c r="H22" s="81" t="n">
        <f aca="false">SUMIFS('W Program Monthly'!$I$6:$I$509,'W Program Monthly'!$C$6:$C$509,H$6, 'W Program Monthly'!$E$6:$E$509,"TLI")</f>
        <v>0</v>
      </c>
      <c r="I22" s="81" t="n">
        <f aca="false">SUMIFS('W Program Monthly'!$I$6:$I$509,'W Program Monthly'!$C$6:$C$509,I$6, 'W Program Monthly'!$E$6:$E$509,"TLI")</f>
        <v>10727.5</v>
      </c>
      <c r="J22" s="81" t="n">
        <f aca="false">SUMIFS('W Program Monthly'!$I$6:$I$509,'W Program Monthly'!$C$6:$C$509,J$6, 'W Program Monthly'!$E$6:$E$509,"TLI")</f>
        <v>21455</v>
      </c>
      <c r="K22" s="81" t="n">
        <f aca="false">SUMIFS('W Program Monthly'!$I$6:$I$509,'W Program Monthly'!$C$6:$C$509,K$6, 'W Program Monthly'!$E$6:$E$509,"TLI")</f>
        <v>32182.5</v>
      </c>
      <c r="L22" s="81" t="n">
        <f aca="false">SUMIFS('W Program Monthly'!$I$6:$I$509,'W Program Monthly'!$C$6:$C$509,L$6, 'W Program Monthly'!$E$6:$E$509,"TLI")</f>
        <v>42910</v>
      </c>
      <c r="M22" s="81" t="n">
        <f aca="false">SUMIFS('W Program Monthly'!$I$6:$I$509,'W Program Monthly'!$C$6:$C$509,M$6, 'W Program Monthly'!$E$6:$E$509,"TLI")</f>
        <v>42910</v>
      </c>
      <c r="N22" s="81" t="n">
        <f aca="false">SUMIFS('W Program Monthly'!$I$6:$I$509,'W Program Monthly'!$C$6:$C$509,N$6, 'W Program Monthly'!$E$6:$E$509,"TLI")</f>
        <v>42910</v>
      </c>
      <c r="O22" s="81" t="n">
        <f aca="false">SUMIFS('W Program Monthly'!$I$6:$I$509,'W Program Monthly'!$C$6:$C$509,O$6, 'W Program Monthly'!$E$6:$E$509,"TLI")</f>
        <v>42910</v>
      </c>
      <c r="P22" s="81" t="n">
        <f aca="false">SUMIFS('W Program Monthly'!$I$6:$I$509,'W Program Monthly'!$C$6:$C$509,P$6, 'W Program Monthly'!$E$6:$E$509,"TLI")</f>
        <v>42910</v>
      </c>
      <c r="Q22" s="81" t="n">
        <f aca="false">SUMIFS('W Program Monthly'!$I$6:$I$509,'W Program Monthly'!$C$6:$C$509,Q$6, 'W Program Monthly'!$E$6:$E$509,"TLI")</f>
        <v>42910</v>
      </c>
      <c r="R22" s="81" t="n">
        <f aca="false">SUMIFS('W Program Monthly'!$I$6:$I$509,'W Program Monthly'!$C$6:$C$509,R$6, 'W Program Monthly'!$E$6:$E$509,"TLI")</f>
        <v>42910</v>
      </c>
      <c r="S22" s="81" t="n">
        <f aca="false">SUMIFS('W Program Monthly'!$I$6:$I$509,'W Program Monthly'!$C$6:$C$509,S$6, 'W Program Monthly'!$E$6:$E$509,"TLI")</f>
        <v>42910</v>
      </c>
      <c r="T22" s="81" t="n">
        <f aca="false">SUMIFS('W Program Monthly'!$I$6:$I$509,'W Program Monthly'!$C$6:$C$509,T$6, 'W Program Monthly'!$E$6:$E$509,"TLI")</f>
        <v>105350</v>
      </c>
      <c r="U22" s="81" t="n">
        <f aca="false">SUMIFS('W Program Monthly'!$I$6:$I$509,'W Program Monthly'!$C$6:$C$509,U$6, 'W Program Monthly'!$E$6:$E$509,"TLI")</f>
        <v>105350</v>
      </c>
      <c r="V22" s="81" t="n">
        <f aca="false">SUMIFS('W Program Monthly'!$I$6:$I$509,'W Program Monthly'!$C$6:$C$509,V$6, 'W Program Monthly'!$E$6:$E$509,"TLI")</f>
        <v>105350</v>
      </c>
      <c r="W22" s="81" t="n">
        <f aca="false">SUMIFS('W Program Monthly'!$I$6:$I$509,'W Program Monthly'!$C$6:$C$509,W$6, 'W Program Monthly'!$E$6:$E$509,"TLI")</f>
        <v>105350</v>
      </c>
      <c r="X22" s="81" t="n">
        <f aca="false">SUMIFS('W Program Monthly'!$I$6:$I$509,'W Program Monthly'!$C$6:$C$509,X$6, 'W Program Monthly'!$E$6:$E$509,"TLI")</f>
        <v>105350</v>
      </c>
      <c r="Y22" s="81" t="n">
        <f aca="false">SUMIFS('W Program Monthly'!$I$6:$I$509,'W Program Monthly'!$C$6:$C$509,Y$6, 'W Program Monthly'!$E$6:$E$509,"TLI")</f>
        <v>105350</v>
      </c>
      <c r="Z22" s="81" t="n">
        <f aca="false">SUMIFS('W Program Monthly'!$I$6:$I$509,'W Program Monthly'!$C$6:$C$509,Z$6, 'W Program Monthly'!$E$6:$E$509,"TLI")</f>
        <v>105350</v>
      </c>
      <c r="AA22" s="81" t="n">
        <f aca="false">SUMIFS('W Program Monthly'!$I$6:$I$509,'W Program Monthly'!$C$6:$C$509,AA$6, 'W Program Monthly'!$E$6:$E$509,"TLI")</f>
        <v>105350</v>
      </c>
      <c r="AB22" s="81" t="n">
        <f aca="false">SUMIFS('W Program Monthly'!$I$6:$I$509,'W Program Monthly'!$C$6:$C$509,AB$6, 'W Program Monthly'!$E$6:$E$509,"TLI")</f>
        <v>105350</v>
      </c>
      <c r="AC22" s="81" t="n">
        <f aca="false">SUMIFS('W Program Monthly'!$I$6:$I$509,'W Program Monthly'!$C$6:$C$509,AC$6, 'W Program Monthly'!$E$6:$E$509,"TLI")</f>
        <v>105350</v>
      </c>
      <c r="AD22" s="81" t="n">
        <f aca="false">SUMIFS('W Program Monthly'!$I$6:$I$509,'W Program Monthly'!$C$6:$C$509,AD$6, 'W Program Monthly'!$E$6:$E$509,"TLI")</f>
        <v>105350</v>
      </c>
      <c r="AE22" s="81" t="n">
        <f aca="false">SUMIFS('W Program Monthly'!$I$6:$I$509,'W Program Monthly'!$C$6:$C$509,AE$6, 'W Program Monthly'!$E$6:$E$509,"TLI")</f>
        <v>105350</v>
      </c>
      <c r="AF22" s="81" t="n">
        <f aca="false">SUMIFS('W Program Monthly'!$I$6:$I$509,'W Program Monthly'!$C$6:$C$509,AF$6, 'W Program Monthly'!$E$6:$E$509,"TLI")</f>
        <v>226957.5</v>
      </c>
      <c r="AG22" s="81" t="n">
        <f aca="false">SUMIFS('W Program Monthly'!$I$6:$I$509,'W Program Monthly'!$C$6:$C$509,AG$6, 'W Program Monthly'!$E$6:$E$509,"TLI")</f>
        <v>226957.5</v>
      </c>
      <c r="AH22" s="81" t="n">
        <f aca="false">SUMIFS('W Program Monthly'!$I$6:$I$509,'W Program Monthly'!$C$6:$C$509,AH$6, 'W Program Monthly'!$E$6:$E$509,"TLI")</f>
        <v>226957.5</v>
      </c>
      <c r="AI22" s="81" t="n">
        <f aca="false">SUMIFS('W Program Monthly'!$I$6:$I$509,'W Program Monthly'!$C$6:$C$509,AI$6, 'W Program Monthly'!$E$6:$E$509,"TLI")</f>
        <v>226957.5</v>
      </c>
      <c r="AJ22" s="81" t="n">
        <f aca="false">SUMIFS('W Program Monthly'!$I$6:$I$509,'W Program Monthly'!$C$6:$C$509,AJ$6, 'W Program Monthly'!$E$6:$E$509,"TLI")</f>
        <v>226957.5</v>
      </c>
      <c r="AK22" s="81" t="n">
        <f aca="false">SUMIFS('W Program Monthly'!$I$6:$I$509,'W Program Monthly'!$C$6:$C$509,AK$6, 'W Program Monthly'!$E$6:$E$509,"TLI")</f>
        <v>226957.5</v>
      </c>
      <c r="AL22" s="81" t="n">
        <f aca="false">SUMIFS('W Program Monthly'!$I$6:$I$509,'W Program Monthly'!$C$6:$C$509,AL$6, 'W Program Monthly'!$E$6:$E$509,"TLI")</f>
        <v>226957.5</v>
      </c>
      <c r="AM22" s="81" t="n">
        <f aca="false">SUMIFS('W Program Monthly'!$I$6:$I$509,'W Program Monthly'!$C$6:$C$509,AM$6, 'W Program Monthly'!$E$6:$E$509,"TLI")</f>
        <v>226957.5</v>
      </c>
      <c r="AN22" s="81" t="n">
        <f aca="false">SUMIFS('W Program Monthly'!$I$6:$I$509,'W Program Monthly'!$C$6:$C$509,AN$6, 'W Program Monthly'!$E$6:$E$509,"TLI")</f>
        <v>226957.5</v>
      </c>
      <c r="AO22" s="81" t="n">
        <f aca="false">SUMIFS('W Program Monthly'!$I$6:$I$509,'W Program Monthly'!$C$6:$C$509,AO$6, 'W Program Monthly'!$E$6:$E$509,"TLI")</f>
        <v>226957.5</v>
      </c>
      <c r="AP22" s="81" t="n">
        <f aca="false">SUMIFS('W Program Monthly'!$I$6:$I$509,'W Program Monthly'!$C$6:$C$509,AP$6, 'W Program Monthly'!$E$6:$E$509,"TLI")</f>
        <v>226957.5</v>
      </c>
      <c r="AQ22" s="81" t="n">
        <f aca="false">SUMIFS('W Program Monthly'!$I$6:$I$509,'W Program Monthly'!$C$6:$C$509,AQ$6, 'W Program Monthly'!$E$6:$E$509,"TLI")</f>
        <v>226957.5</v>
      </c>
    </row>
    <row r="23" customFormat="false" ht="21" hidden="false" customHeight="true" outlineLevel="0" collapsed="false">
      <c r="C23" s="74" t="s">
        <v>776</v>
      </c>
      <c r="D23" s="109" t="n">
        <f aca="false">SUM(H23:S23)</f>
        <v>757055</v>
      </c>
      <c r="E23" s="109" t="n">
        <f aca="false">SUM(T23:AE23)</f>
        <v>1896300</v>
      </c>
      <c r="F23" s="109" t="n">
        <f aca="false">SUM(AF23:AQ23)</f>
        <v>3328710</v>
      </c>
      <c r="G23" s="79"/>
      <c r="H23" s="81" t="n">
        <f aca="false">SUMIFS('W Program Monthly'!$I$6:$I$509,'W Program Monthly'!$C$6:$C$509,H$6, 'W Program Monthly'!$E$6:$E$509,"WOO IP")</f>
        <v>0</v>
      </c>
      <c r="I23" s="81" t="n">
        <f aca="false">SUMIFS('W Program Monthly'!$I$6:$I$509,'W Program Monthly'!$C$6:$C$509,I$6, 'W Program Monthly'!$E$6:$E$509,"WOO IP")</f>
        <v>19922.5</v>
      </c>
      <c r="J23" s="81" t="n">
        <f aca="false">SUMIFS('W Program Monthly'!$I$6:$I$509,'W Program Monthly'!$C$6:$C$509,J$6, 'W Program Monthly'!$E$6:$E$509,"WOO IP")</f>
        <v>39845</v>
      </c>
      <c r="K23" s="81" t="n">
        <f aca="false">SUMIFS('W Program Monthly'!$I$6:$I$509,'W Program Monthly'!$C$6:$C$509,K$6, 'W Program Monthly'!$E$6:$E$509,"WOO IP")</f>
        <v>59767.5</v>
      </c>
      <c r="L23" s="81" t="n">
        <f aca="false">SUMIFS('W Program Monthly'!$I$6:$I$509,'W Program Monthly'!$C$6:$C$509,L$6, 'W Program Monthly'!$E$6:$E$509,"WOO IP")</f>
        <v>79690</v>
      </c>
      <c r="M23" s="81" t="n">
        <f aca="false">SUMIFS('W Program Monthly'!$I$6:$I$509,'W Program Monthly'!$C$6:$C$509,M$6, 'W Program Monthly'!$E$6:$E$509,"WOO IP")</f>
        <v>79690</v>
      </c>
      <c r="N23" s="81" t="n">
        <f aca="false">SUMIFS('W Program Monthly'!$I$6:$I$509,'W Program Monthly'!$C$6:$C$509,N$6, 'W Program Monthly'!$E$6:$E$509,"WOO IP")</f>
        <v>79690</v>
      </c>
      <c r="O23" s="81" t="n">
        <f aca="false">SUMIFS('W Program Monthly'!$I$6:$I$509,'W Program Monthly'!$C$6:$C$509,O$6, 'W Program Monthly'!$E$6:$E$509,"WOO IP")</f>
        <v>79690</v>
      </c>
      <c r="P23" s="81" t="n">
        <f aca="false">SUMIFS('W Program Monthly'!$I$6:$I$509,'W Program Monthly'!$C$6:$C$509,P$6, 'W Program Monthly'!$E$6:$E$509,"WOO IP")</f>
        <v>79690</v>
      </c>
      <c r="Q23" s="81" t="n">
        <f aca="false">SUMIFS('W Program Monthly'!$I$6:$I$509,'W Program Monthly'!$C$6:$C$509,Q$6, 'W Program Monthly'!$E$6:$E$509,"WOO IP")</f>
        <v>79690</v>
      </c>
      <c r="R23" s="81" t="n">
        <f aca="false">SUMIFS('W Program Monthly'!$I$6:$I$509,'W Program Monthly'!$C$6:$C$509,R$6, 'W Program Monthly'!$E$6:$E$509,"WOO IP")</f>
        <v>79690</v>
      </c>
      <c r="S23" s="81" t="n">
        <f aca="false">SUMIFS('W Program Monthly'!$I$6:$I$509,'W Program Monthly'!$C$6:$C$509,S$6, 'W Program Monthly'!$E$6:$E$509,"WOO IP")</f>
        <v>79690</v>
      </c>
      <c r="T23" s="81" t="n">
        <f aca="false">SUMIFS('W Program Monthly'!$I$6:$I$509,'W Program Monthly'!$C$6:$C$509,T$6, 'W Program Monthly'!$E$6:$E$509,"WOO IP")</f>
        <v>158025</v>
      </c>
      <c r="U23" s="81" t="n">
        <f aca="false">SUMIFS('W Program Monthly'!$I$6:$I$509,'W Program Monthly'!$C$6:$C$509,U$6, 'W Program Monthly'!$E$6:$E$509,"WOO IP")</f>
        <v>158025</v>
      </c>
      <c r="V23" s="81" t="n">
        <f aca="false">SUMIFS('W Program Monthly'!$I$6:$I$509,'W Program Monthly'!$C$6:$C$509,V$6, 'W Program Monthly'!$E$6:$E$509,"WOO IP")</f>
        <v>158025</v>
      </c>
      <c r="W23" s="81" t="n">
        <f aca="false">SUMIFS('W Program Monthly'!$I$6:$I$509,'W Program Monthly'!$C$6:$C$509,W$6, 'W Program Monthly'!$E$6:$E$509,"WOO IP")</f>
        <v>158025</v>
      </c>
      <c r="X23" s="81" t="n">
        <f aca="false">SUMIFS('W Program Monthly'!$I$6:$I$509,'W Program Monthly'!$C$6:$C$509,X$6, 'W Program Monthly'!$E$6:$E$509,"WOO IP")</f>
        <v>158025</v>
      </c>
      <c r="Y23" s="81" t="n">
        <f aca="false">SUMIFS('W Program Monthly'!$I$6:$I$509,'W Program Monthly'!$C$6:$C$509,Y$6, 'W Program Monthly'!$E$6:$E$509,"WOO IP")</f>
        <v>158025</v>
      </c>
      <c r="Z23" s="81" t="n">
        <f aca="false">SUMIFS('W Program Monthly'!$I$6:$I$509,'W Program Monthly'!$C$6:$C$509,Z$6, 'W Program Monthly'!$E$6:$E$509,"WOO IP")</f>
        <v>158025</v>
      </c>
      <c r="AA23" s="81" t="n">
        <f aca="false">SUMIFS('W Program Monthly'!$I$6:$I$509,'W Program Monthly'!$C$6:$C$509,AA$6, 'W Program Monthly'!$E$6:$E$509,"WOO IP")</f>
        <v>158025</v>
      </c>
      <c r="AB23" s="81" t="n">
        <f aca="false">SUMIFS('W Program Monthly'!$I$6:$I$509,'W Program Monthly'!$C$6:$C$509,AB$6, 'W Program Monthly'!$E$6:$E$509,"WOO IP")</f>
        <v>158025</v>
      </c>
      <c r="AC23" s="81" t="n">
        <f aca="false">SUMIFS('W Program Monthly'!$I$6:$I$509,'W Program Monthly'!$C$6:$C$509,AC$6, 'W Program Monthly'!$E$6:$E$509,"WOO IP")</f>
        <v>158025</v>
      </c>
      <c r="AD23" s="81" t="n">
        <f aca="false">SUMIFS('W Program Monthly'!$I$6:$I$509,'W Program Monthly'!$C$6:$C$509,AD$6, 'W Program Monthly'!$E$6:$E$509,"WOO IP")</f>
        <v>158025</v>
      </c>
      <c r="AE23" s="81" t="n">
        <f aca="false">SUMIFS('W Program Monthly'!$I$6:$I$509,'W Program Monthly'!$C$6:$C$509,AE$6, 'W Program Monthly'!$E$6:$E$509,"WOO IP")</f>
        <v>158025</v>
      </c>
      <c r="AF23" s="81" t="n">
        <f aca="false">SUMIFS('W Program Monthly'!$I$6:$I$509,'W Program Monthly'!$C$6:$C$509,AF$6, 'W Program Monthly'!$E$6:$E$509,"WOO IP")</f>
        <v>277392.5</v>
      </c>
      <c r="AG23" s="81" t="n">
        <f aca="false">SUMIFS('W Program Monthly'!$I$6:$I$509,'W Program Monthly'!$C$6:$C$509,AG$6, 'W Program Monthly'!$E$6:$E$509,"WOO IP")</f>
        <v>277392.5</v>
      </c>
      <c r="AH23" s="81" t="n">
        <f aca="false">SUMIFS('W Program Monthly'!$I$6:$I$509,'W Program Monthly'!$C$6:$C$509,AH$6, 'W Program Monthly'!$E$6:$E$509,"WOO IP")</f>
        <v>277392.5</v>
      </c>
      <c r="AI23" s="81" t="n">
        <f aca="false">SUMIFS('W Program Monthly'!$I$6:$I$509,'W Program Monthly'!$C$6:$C$509,AI$6, 'W Program Monthly'!$E$6:$E$509,"WOO IP")</f>
        <v>277392.5</v>
      </c>
      <c r="AJ23" s="81" t="n">
        <f aca="false">SUMIFS('W Program Monthly'!$I$6:$I$509,'W Program Monthly'!$C$6:$C$509,AJ$6, 'W Program Monthly'!$E$6:$E$509,"WOO IP")</f>
        <v>277392.5</v>
      </c>
      <c r="AK23" s="81" t="n">
        <f aca="false">SUMIFS('W Program Monthly'!$I$6:$I$509,'W Program Monthly'!$C$6:$C$509,AK$6, 'W Program Monthly'!$E$6:$E$509,"WOO IP")</f>
        <v>277392.5</v>
      </c>
      <c r="AL23" s="81" t="n">
        <f aca="false">SUMIFS('W Program Monthly'!$I$6:$I$509,'W Program Monthly'!$C$6:$C$509,AL$6, 'W Program Monthly'!$E$6:$E$509,"WOO IP")</f>
        <v>277392.5</v>
      </c>
      <c r="AM23" s="81" t="n">
        <f aca="false">SUMIFS('W Program Monthly'!$I$6:$I$509,'W Program Monthly'!$C$6:$C$509,AM$6, 'W Program Monthly'!$E$6:$E$509,"WOO IP")</f>
        <v>277392.5</v>
      </c>
      <c r="AN23" s="81" t="n">
        <f aca="false">SUMIFS('W Program Monthly'!$I$6:$I$509,'W Program Monthly'!$C$6:$C$509,AN$6, 'W Program Monthly'!$E$6:$E$509,"WOO IP")</f>
        <v>277392.5</v>
      </c>
      <c r="AO23" s="81" t="n">
        <f aca="false">SUMIFS('W Program Monthly'!$I$6:$I$509,'W Program Monthly'!$C$6:$C$509,AO$6, 'W Program Monthly'!$E$6:$E$509,"WOO IP")</f>
        <v>277392.5</v>
      </c>
      <c r="AP23" s="81" t="n">
        <f aca="false">SUMIFS('W Program Monthly'!$I$6:$I$509,'W Program Monthly'!$C$6:$C$509,AP$6, 'W Program Monthly'!$E$6:$E$509,"WOO IP")</f>
        <v>277392.5</v>
      </c>
      <c r="AQ23" s="81" t="n">
        <f aca="false">SUMIFS('W Program Monthly'!$I$6:$I$509,'W Program Monthly'!$C$6:$C$509,AQ$6, 'W Program Monthly'!$E$6:$E$509,"WOO IP")</f>
        <v>277392.5</v>
      </c>
    </row>
    <row r="24" customFormat="false" ht="21" hidden="false" customHeight="true" outlineLevel="0" collapsed="false">
      <c r="C24" s="74" t="s">
        <v>777</v>
      </c>
      <c r="D24" s="109" t="n">
        <f aca="false">SUM(H24:S24)</f>
        <v>0</v>
      </c>
      <c r="E24" s="109" t="n">
        <f aca="false">SUM(T24:AE24)</f>
        <v>0</v>
      </c>
      <c r="F24" s="109" t="n">
        <f aca="false">SUM(AF24:AQ24)</f>
        <v>0</v>
      </c>
      <c r="G24" s="79"/>
      <c r="H24" s="81" t="n">
        <f aca="false">SUMIFS('W Program Monthly'!$J$6:$J$509,'W Program Monthly'!$C$6:$C$509,H$6)</f>
        <v>0</v>
      </c>
      <c r="I24" s="81" t="n">
        <f aca="false">SUMIFS('W Program Monthly'!$J$6:$J$509,'W Program Monthly'!$C$6:$C$509,I$6)</f>
        <v>0</v>
      </c>
      <c r="J24" s="81" t="n">
        <f aca="false">SUMIFS('W Program Monthly'!$J$6:$J$509,'W Program Monthly'!$C$6:$C$509,J$6)</f>
        <v>0</v>
      </c>
      <c r="K24" s="81" t="n">
        <f aca="false">SUMIFS('W Program Monthly'!$J$6:$J$509,'W Program Monthly'!$C$6:$C$509,K$6)</f>
        <v>0</v>
      </c>
      <c r="L24" s="81" t="n">
        <f aca="false">SUMIFS('W Program Monthly'!$J$6:$J$509,'W Program Monthly'!$C$6:$C$509,L$6)</f>
        <v>0</v>
      </c>
      <c r="M24" s="81" t="n">
        <f aca="false">SUMIFS('W Program Monthly'!$J$6:$J$509,'W Program Monthly'!$C$6:$C$509,M$6)</f>
        <v>0</v>
      </c>
      <c r="N24" s="81" t="n">
        <f aca="false">SUMIFS('W Program Monthly'!$J$6:$J$509,'W Program Monthly'!$C$6:$C$509,N$6)</f>
        <v>0</v>
      </c>
      <c r="O24" s="81" t="n">
        <f aca="false">SUMIFS('W Program Monthly'!$J$6:$J$509,'W Program Monthly'!$C$6:$C$509,O$6)</f>
        <v>0</v>
      </c>
      <c r="P24" s="81" t="n">
        <f aca="false">SUMIFS('W Program Monthly'!$J$6:$J$509,'W Program Monthly'!$C$6:$C$509,P$6)</f>
        <v>0</v>
      </c>
      <c r="Q24" s="81" t="n">
        <f aca="false">SUMIFS('W Program Monthly'!$J$6:$J$509,'W Program Monthly'!$C$6:$C$509,Q$6)</f>
        <v>0</v>
      </c>
      <c r="R24" s="81" t="n">
        <f aca="false">SUMIFS('W Program Monthly'!$J$6:$J$509,'W Program Monthly'!$C$6:$C$509,R$6)</f>
        <v>0</v>
      </c>
      <c r="S24" s="81" t="n">
        <f aca="false">SUMIFS('W Program Monthly'!$J$6:$J$509,'W Program Monthly'!$C$6:$C$509,S$6)</f>
        <v>0</v>
      </c>
      <c r="T24" s="81" t="n">
        <f aca="false">SUMIFS('W Program Monthly'!$J$6:$J$509,'W Program Monthly'!$C$6:$C$509,T$6)</f>
        <v>0</v>
      </c>
      <c r="U24" s="81" t="n">
        <f aca="false">SUMIFS('W Program Monthly'!$J$6:$J$509,'W Program Monthly'!$C$6:$C$509,U$6)</f>
        <v>0</v>
      </c>
      <c r="V24" s="81" t="n">
        <f aca="false">SUMIFS('W Program Monthly'!$J$6:$J$509,'W Program Monthly'!$C$6:$C$509,V$6)</f>
        <v>0</v>
      </c>
      <c r="W24" s="81" t="n">
        <f aca="false">SUMIFS('W Program Monthly'!$J$6:$J$509,'W Program Monthly'!$C$6:$C$509,W$6)</f>
        <v>0</v>
      </c>
      <c r="X24" s="81" t="n">
        <f aca="false">SUMIFS('W Program Monthly'!$J$6:$J$509,'W Program Monthly'!$C$6:$C$509,X$6)</f>
        <v>0</v>
      </c>
      <c r="Y24" s="81" t="n">
        <f aca="false">SUMIFS('W Program Monthly'!$J$6:$J$509,'W Program Monthly'!$C$6:$C$509,Y$6)</f>
        <v>0</v>
      </c>
      <c r="Z24" s="81" t="n">
        <f aca="false">SUMIFS('W Program Monthly'!$J$6:$J$509,'W Program Monthly'!$C$6:$C$509,Z$6)</f>
        <v>0</v>
      </c>
      <c r="AA24" s="81" t="n">
        <f aca="false">SUMIFS('W Program Monthly'!$J$6:$J$509,'W Program Monthly'!$C$6:$C$509,AA$6)</f>
        <v>0</v>
      </c>
      <c r="AB24" s="81" t="n">
        <f aca="false">SUMIFS('W Program Monthly'!$J$6:$J$509,'W Program Monthly'!$C$6:$C$509,AB$6)</f>
        <v>0</v>
      </c>
      <c r="AC24" s="81" t="n">
        <f aca="false">SUMIFS('W Program Monthly'!$J$6:$J$509,'W Program Monthly'!$C$6:$C$509,AC$6)</f>
        <v>0</v>
      </c>
      <c r="AD24" s="81" t="n">
        <f aca="false">SUMIFS('W Program Monthly'!$J$6:$J$509,'W Program Monthly'!$C$6:$C$509,AD$6)</f>
        <v>0</v>
      </c>
      <c r="AE24" s="81" t="n">
        <f aca="false">SUMIFS('W Program Monthly'!$J$6:$J$509,'W Program Monthly'!$C$6:$C$509,AE$6)</f>
        <v>0</v>
      </c>
      <c r="AF24" s="81" t="n">
        <f aca="false">SUMIFS('W Program Monthly'!$J$6:$J$509,'W Program Monthly'!$C$6:$C$509,AF$6)</f>
        <v>0</v>
      </c>
      <c r="AG24" s="81" t="n">
        <f aca="false">SUMIFS('W Program Monthly'!$J$6:$J$509,'W Program Monthly'!$C$6:$C$509,AG$6)</f>
        <v>0</v>
      </c>
      <c r="AH24" s="81" t="n">
        <f aca="false">SUMIFS('W Program Monthly'!$J$6:$J$509,'W Program Monthly'!$C$6:$C$509,AH$6)</f>
        <v>0</v>
      </c>
      <c r="AI24" s="81" t="n">
        <f aca="false">SUMIFS('W Program Monthly'!$J$6:$J$509,'W Program Monthly'!$C$6:$C$509,AI$6)</f>
        <v>0</v>
      </c>
      <c r="AJ24" s="81" t="n">
        <f aca="false">SUMIFS('W Program Monthly'!$J$6:$J$509,'W Program Monthly'!$C$6:$C$509,AJ$6)</f>
        <v>0</v>
      </c>
      <c r="AK24" s="81" t="n">
        <f aca="false">SUMIFS('W Program Monthly'!$J$6:$J$509,'W Program Monthly'!$C$6:$C$509,AK$6)</f>
        <v>0</v>
      </c>
      <c r="AL24" s="81" t="n">
        <f aca="false">SUMIFS('W Program Monthly'!$J$6:$J$509,'W Program Monthly'!$C$6:$C$509,AL$6)</f>
        <v>0</v>
      </c>
      <c r="AM24" s="81" t="n">
        <f aca="false">SUMIFS('W Program Monthly'!$J$6:$J$509,'W Program Monthly'!$C$6:$C$509,AM$6)</f>
        <v>0</v>
      </c>
      <c r="AN24" s="81" t="n">
        <f aca="false">SUMIFS('W Program Monthly'!$J$6:$J$509,'W Program Monthly'!$C$6:$C$509,AN$6)</f>
        <v>0</v>
      </c>
      <c r="AO24" s="81" t="n">
        <f aca="false">SUMIFS('W Program Monthly'!$J$6:$J$509,'W Program Monthly'!$C$6:$C$509,AO$6)</f>
        <v>0</v>
      </c>
      <c r="AP24" s="81" t="n">
        <f aca="false">SUMIFS('W Program Monthly'!$J$6:$J$509,'W Program Monthly'!$C$6:$C$509,AP$6)</f>
        <v>0</v>
      </c>
      <c r="AQ24" s="81" t="n">
        <f aca="false">SUMIFS('W Program Monthly'!$J$6:$J$509,'W Program Monthly'!$C$6:$C$509,AQ$6)</f>
        <v>0</v>
      </c>
    </row>
    <row r="25" customFormat="false" ht="21" hidden="false" customHeight="true" outlineLevel="0" collapsed="false">
      <c r="C25" s="74" t="s">
        <v>778</v>
      </c>
      <c r="D25" s="109" t="n">
        <f aca="false">SUM(H25:S25)</f>
        <v>88000</v>
      </c>
      <c r="E25" s="109" t="n">
        <f aca="false">SUM(T25:AE25)</f>
        <v>99840</v>
      </c>
      <c r="F25" s="109" t="n">
        <f aca="false">SUM(AF25:AQ25)</f>
        <v>103833.6</v>
      </c>
      <c r="G25" s="79"/>
      <c r="H25" s="81" t="n">
        <f aca="false">IF(H$6&gt;='W Assumptions'!$D$58,'W Assumptions'!$D$59*INDEX('W Assumptions'!$D$35:$F$35,1,1),0)</f>
        <v>0</v>
      </c>
      <c r="I25" s="81" t="n">
        <f aca="false">IF(I$6&gt;='W Assumptions'!$D$58,'W Assumptions'!$D$59*INDEX('W Assumptions'!$D$35:$F$35,1,1),0)</f>
        <v>8000</v>
      </c>
      <c r="J25" s="81" t="n">
        <f aca="false">IF(J$6&gt;='W Assumptions'!$D$58,'W Assumptions'!$D$59*INDEX('W Assumptions'!$D$35:$F$35,1,1),0)</f>
        <v>8000</v>
      </c>
      <c r="K25" s="81" t="n">
        <f aca="false">IF(K$6&gt;='W Assumptions'!$D$58,'W Assumptions'!$D$59*INDEX('W Assumptions'!$D$35:$F$35,1,1),0)</f>
        <v>8000</v>
      </c>
      <c r="L25" s="81" t="n">
        <f aca="false">IF(L$6&gt;='W Assumptions'!$D$58,'W Assumptions'!$D$59*INDEX('W Assumptions'!$D$35:$F$35,1,1),0)</f>
        <v>8000</v>
      </c>
      <c r="M25" s="81" t="n">
        <f aca="false">IF(M$6&gt;='W Assumptions'!$D$58,'W Assumptions'!$D$59*INDEX('W Assumptions'!$D$35:$F$35,1,1),0)</f>
        <v>8000</v>
      </c>
      <c r="N25" s="81" t="n">
        <f aca="false">IF(N$6&gt;='W Assumptions'!$D$58,'W Assumptions'!$D$59*INDEX('W Assumptions'!$D$35:$F$35,1,1),0)</f>
        <v>8000</v>
      </c>
      <c r="O25" s="81" t="n">
        <f aca="false">IF(O$6&gt;='W Assumptions'!$D$58,'W Assumptions'!$D$59*INDEX('W Assumptions'!$D$35:$F$35,1,1),0)</f>
        <v>8000</v>
      </c>
      <c r="P25" s="81" t="n">
        <f aca="false">IF(P$6&gt;='W Assumptions'!$D$58,'W Assumptions'!$D$59*INDEX('W Assumptions'!$D$35:$F$35,1,1),0)</f>
        <v>8000</v>
      </c>
      <c r="Q25" s="81" t="n">
        <f aca="false">IF(Q$6&gt;='W Assumptions'!$D$58,'W Assumptions'!$D$59*INDEX('W Assumptions'!$D$35:$F$35,1,1),0)</f>
        <v>8000</v>
      </c>
      <c r="R25" s="81" t="n">
        <f aca="false">IF(R$6&gt;='W Assumptions'!$D$58,'W Assumptions'!$D$59*INDEX('W Assumptions'!$D$35:$F$35,1,1),0)</f>
        <v>8000</v>
      </c>
      <c r="S25" s="81" t="n">
        <f aca="false">IF(S$6&gt;='W Assumptions'!$D$58,'W Assumptions'!$D$59*INDEX('W Assumptions'!$D$35:$F$35,1,1),0)</f>
        <v>8000</v>
      </c>
      <c r="T25" s="81" t="n">
        <f aca="false">IF(T$6&gt;='W Assumptions'!$D$58,'W Assumptions'!$D$59*INDEX('W Assumptions'!$D$35:$F$35,1,2),0)</f>
        <v>8320</v>
      </c>
      <c r="U25" s="81" t="n">
        <f aca="false">IF(U$6&gt;='W Assumptions'!$D$58,'W Assumptions'!$D$59*INDEX('W Assumptions'!$D$35:$F$35,1,2),0)</f>
        <v>8320</v>
      </c>
      <c r="V25" s="81" t="n">
        <f aca="false">IF(V$6&gt;='W Assumptions'!$D$58,'W Assumptions'!$D$59*INDEX('W Assumptions'!$D$35:$F$35,1,2),0)</f>
        <v>8320</v>
      </c>
      <c r="W25" s="81" t="n">
        <f aca="false">IF(W$6&gt;='W Assumptions'!$D$58,'W Assumptions'!$D$59*INDEX('W Assumptions'!$D$35:$F$35,1,2),0)</f>
        <v>8320</v>
      </c>
      <c r="X25" s="81" t="n">
        <f aca="false">IF(X$6&gt;='W Assumptions'!$D$58,'W Assumptions'!$D$59*INDEX('W Assumptions'!$D$35:$F$35,1,2),0)</f>
        <v>8320</v>
      </c>
      <c r="Y25" s="81" t="n">
        <f aca="false">IF(Y$6&gt;='W Assumptions'!$D$58,'W Assumptions'!$D$59*INDEX('W Assumptions'!$D$35:$F$35,1,2),0)</f>
        <v>8320</v>
      </c>
      <c r="Z25" s="81" t="n">
        <f aca="false">IF(Z$6&gt;='W Assumptions'!$D$58,'W Assumptions'!$D$59*INDEX('W Assumptions'!$D$35:$F$35,1,2),0)</f>
        <v>8320</v>
      </c>
      <c r="AA25" s="81" t="n">
        <f aca="false">IF(AA$6&gt;='W Assumptions'!$D$58,'W Assumptions'!$D$59*INDEX('W Assumptions'!$D$35:$F$35,1,2),0)</f>
        <v>8320</v>
      </c>
      <c r="AB25" s="81" t="n">
        <f aca="false">IF(AB$6&gt;='W Assumptions'!$D$58,'W Assumptions'!$D$59*INDEX('W Assumptions'!$D$35:$F$35,1,2),0)</f>
        <v>8320</v>
      </c>
      <c r="AC25" s="81" t="n">
        <f aca="false">IF(AC$6&gt;='W Assumptions'!$D$58,'W Assumptions'!$D$59*INDEX('W Assumptions'!$D$35:$F$35,1,2),0)</f>
        <v>8320</v>
      </c>
      <c r="AD25" s="81" t="n">
        <f aca="false">IF(AD$6&gt;='W Assumptions'!$D$58,'W Assumptions'!$D$59*INDEX('W Assumptions'!$D$35:$F$35,1,2),0)</f>
        <v>8320</v>
      </c>
      <c r="AE25" s="81" t="n">
        <f aca="false">IF(AE$6&gt;='W Assumptions'!$D$58,'W Assumptions'!$D$59*INDEX('W Assumptions'!$D$35:$F$35,1,2),0)</f>
        <v>8320</v>
      </c>
      <c r="AF25" s="81" t="n">
        <f aca="false">IF(AF$6&gt;='W Assumptions'!$D$58,'W Assumptions'!$D$59*INDEX('W Assumptions'!$D$35:$F$35,1,3),0)</f>
        <v>8652.8</v>
      </c>
      <c r="AG25" s="81" t="n">
        <f aca="false">IF(AG$6&gt;='W Assumptions'!$D$58,'W Assumptions'!$D$59*INDEX('W Assumptions'!$D$35:$F$35,1,3),0)</f>
        <v>8652.8</v>
      </c>
      <c r="AH25" s="81" t="n">
        <f aca="false">IF(AH$6&gt;='W Assumptions'!$D$58,'W Assumptions'!$D$59*INDEX('W Assumptions'!$D$35:$F$35,1,3),0)</f>
        <v>8652.8</v>
      </c>
      <c r="AI25" s="81" t="n">
        <f aca="false">IF(AI$6&gt;='W Assumptions'!$D$58,'W Assumptions'!$D$59*INDEX('W Assumptions'!$D$35:$F$35,1,3),0)</f>
        <v>8652.8</v>
      </c>
      <c r="AJ25" s="81" t="n">
        <f aca="false">IF(AJ$6&gt;='W Assumptions'!$D$58,'W Assumptions'!$D$59*INDEX('W Assumptions'!$D$35:$F$35,1,3),0)</f>
        <v>8652.8</v>
      </c>
      <c r="AK25" s="81" t="n">
        <f aca="false">IF(AK$6&gt;='W Assumptions'!$D$58,'W Assumptions'!$D$59*INDEX('W Assumptions'!$D$35:$F$35,1,3),0)</f>
        <v>8652.8</v>
      </c>
      <c r="AL25" s="81" t="n">
        <f aca="false">IF(AL$6&gt;='W Assumptions'!$D$58,'W Assumptions'!$D$59*INDEX('W Assumptions'!$D$35:$F$35,1,3),0)</f>
        <v>8652.8</v>
      </c>
      <c r="AM25" s="81" t="n">
        <f aca="false">IF(AM$6&gt;='W Assumptions'!$D$58,'W Assumptions'!$D$59*INDEX('W Assumptions'!$D$35:$F$35,1,3),0)</f>
        <v>8652.8</v>
      </c>
      <c r="AN25" s="81" t="n">
        <f aca="false">IF(AN$6&gt;='W Assumptions'!$D$58,'W Assumptions'!$D$59*INDEX('W Assumptions'!$D$35:$F$35,1,3),0)</f>
        <v>8652.8</v>
      </c>
      <c r="AO25" s="81" t="n">
        <f aca="false">IF(AO$6&gt;='W Assumptions'!$D$58,'W Assumptions'!$D$59*INDEX('W Assumptions'!$D$35:$F$35,1,3),0)</f>
        <v>8652.8</v>
      </c>
      <c r="AP25" s="81" t="n">
        <f aca="false">IF(AP$6&gt;='W Assumptions'!$D$58,'W Assumptions'!$D$59*INDEX('W Assumptions'!$D$35:$F$35,1,3),0)</f>
        <v>8652.8</v>
      </c>
      <c r="AQ25" s="81" t="n">
        <f aca="false">IF(AQ$6&gt;='W Assumptions'!$D$58,'W Assumptions'!$D$59*INDEX('W Assumptions'!$D$35:$F$35,1,3),0)</f>
        <v>8652.8</v>
      </c>
    </row>
    <row r="26" customFormat="false" ht="21" hidden="false" customHeight="true" outlineLevel="0" collapsed="false">
      <c r="C26" s="74" t="s">
        <v>779</v>
      </c>
      <c r="D26" s="109" t="n">
        <f aca="false">SUM(H26:S26)</f>
        <v>275000</v>
      </c>
      <c r="E26" s="109" t="n">
        <f aca="false">SUM(T26:AE26)</f>
        <v>372000</v>
      </c>
      <c r="F26" s="109" t="n">
        <f aca="false">SUM(AF26:AQ26)</f>
        <v>456000</v>
      </c>
      <c r="G26" s="79"/>
      <c r="H26" s="81" t="n">
        <f aca="false">IF(H$6&gt;='W Assumptions'!$D$58,INDEX('W Assumptions'!$D$76:$F$76,1,1)*INDEX('W Assumptions'!$D$22:$F$22,1,1),0)</f>
        <v>0</v>
      </c>
      <c r="I26" s="81" t="n">
        <f aca="false">IF(I$6&gt;='W Assumptions'!$D$58,INDEX('W Assumptions'!$D$76:$F$76,1,1)*INDEX('W Assumptions'!$D$22:$F$22,1,1),0)</f>
        <v>25000</v>
      </c>
      <c r="J26" s="81" t="n">
        <f aca="false">IF(J$6&gt;='W Assumptions'!$D$58,INDEX('W Assumptions'!$D$76:$F$76,1,1)*INDEX('W Assumptions'!$D$22:$F$22,1,1),0)</f>
        <v>25000</v>
      </c>
      <c r="K26" s="81" t="n">
        <f aca="false">IF(K$6&gt;='W Assumptions'!$D$58,INDEX('W Assumptions'!$D$76:$F$76,1,1)*INDEX('W Assumptions'!$D$22:$F$22,1,1),0)</f>
        <v>25000</v>
      </c>
      <c r="L26" s="81" t="n">
        <f aca="false">IF(L$6&gt;='W Assumptions'!$D$58,INDEX('W Assumptions'!$D$76:$F$76,1,1)*INDEX('W Assumptions'!$D$22:$F$22,1,1),0)</f>
        <v>25000</v>
      </c>
      <c r="M26" s="81" t="n">
        <f aca="false">IF(M$6&gt;='W Assumptions'!$D$58,INDEX('W Assumptions'!$D$76:$F$76,1,1)*INDEX('W Assumptions'!$D$22:$F$22,1,1),0)</f>
        <v>25000</v>
      </c>
      <c r="N26" s="81" t="n">
        <f aca="false">IF(N$6&gt;='W Assumptions'!$D$58,INDEX('W Assumptions'!$D$76:$F$76,1,1)*INDEX('W Assumptions'!$D$22:$F$22,1,1),0)</f>
        <v>25000</v>
      </c>
      <c r="O26" s="81" t="n">
        <f aca="false">IF(O$6&gt;='W Assumptions'!$D$58,INDEX('W Assumptions'!$D$76:$F$76,1,1)*INDEX('W Assumptions'!$D$22:$F$22,1,1),0)</f>
        <v>25000</v>
      </c>
      <c r="P26" s="81" t="n">
        <f aca="false">IF(P$6&gt;='W Assumptions'!$D$58,INDEX('W Assumptions'!$D$76:$F$76,1,1)*INDEX('W Assumptions'!$D$22:$F$22,1,1),0)</f>
        <v>25000</v>
      </c>
      <c r="Q26" s="81" t="n">
        <f aca="false">IF(Q$6&gt;='W Assumptions'!$D$58,INDEX('W Assumptions'!$D$76:$F$76,1,1)*INDEX('W Assumptions'!$D$22:$F$22,1,1),0)</f>
        <v>25000</v>
      </c>
      <c r="R26" s="81" t="n">
        <f aca="false">IF(R$6&gt;='W Assumptions'!$D$58,INDEX('W Assumptions'!$D$76:$F$76,1,1)*INDEX('W Assumptions'!$D$22:$F$22,1,1),0)</f>
        <v>25000</v>
      </c>
      <c r="S26" s="81" t="n">
        <f aca="false">IF(S$6&gt;='W Assumptions'!$D$58,INDEX('W Assumptions'!$D$76:$F$76,1,1)*INDEX('W Assumptions'!$D$22:$F$22,1,1),0)</f>
        <v>25000</v>
      </c>
      <c r="T26" s="81" t="n">
        <f aca="false">IF(T$6&gt;='W Assumptions'!$D$58,INDEX('W Assumptions'!$D$76:$F$76,1,2)*INDEX('W Assumptions'!$D$22:$F$22,1,2),0)</f>
        <v>31000</v>
      </c>
      <c r="U26" s="81" t="n">
        <f aca="false">IF(U$6&gt;='W Assumptions'!$D$58,INDEX('W Assumptions'!$D$76:$F$76,1,2)*INDEX('W Assumptions'!$D$22:$F$22,1,2),0)</f>
        <v>31000</v>
      </c>
      <c r="V26" s="81" t="n">
        <f aca="false">IF(V$6&gt;='W Assumptions'!$D$58,INDEX('W Assumptions'!$D$76:$F$76,1,2)*INDEX('W Assumptions'!$D$22:$F$22,1,2),0)</f>
        <v>31000</v>
      </c>
      <c r="W26" s="81" t="n">
        <f aca="false">IF(W$6&gt;='W Assumptions'!$D$58,INDEX('W Assumptions'!$D$76:$F$76,1,2)*INDEX('W Assumptions'!$D$22:$F$22,1,2),0)</f>
        <v>31000</v>
      </c>
      <c r="X26" s="81" t="n">
        <f aca="false">IF(X$6&gt;='W Assumptions'!$D$58,INDEX('W Assumptions'!$D$76:$F$76,1,2)*INDEX('W Assumptions'!$D$22:$F$22,1,2),0)</f>
        <v>31000</v>
      </c>
      <c r="Y26" s="81" t="n">
        <f aca="false">IF(Y$6&gt;='W Assumptions'!$D$58,INDEX('W Assumptions'!$D$76:$F$76,1,2)*INDEX('W Assumptions'!$D$22:$F$22,1,2),0)</f>
        <v>31000</v>
      </c>
      <c r="Z26" s="81" t="n">
        <f aca="false">IF(Z$6&gt;='W Assumptions'!$D$58,INDEX('W Assumptions'!$D$76:$F$76,1,2)*INDEX('W Assumptions'!$D$22:$F$22,1,2),0)</f>
        <v>31000</v>
      </c>
      <c r="AA26" s="81" t="n">
        <f aca="false">IF(AA$6&gt;='W Assumptions'!$D$58,INDEX('W Assumptions'!$D$76:$F$76,1,2)*INDEX('W Assumptions'!$D$22:$F$22,1,2),0)</f>
        <v>31000</v>
      </c>
      <c r="AB26" s="81" t="n">
        <f aca="false">IF(AB$6&gt;='W Assumptions'!$D$58,INDEX('W Assumptions'!$D$76:$F$76,1,2)*INDEX('W Assumptions'!$D$22:$F$22,1,2),0)</f>
        <v>31000</v>
      </c>
      <c r="AC26" s="81" t="n">
        <f aca="false">IF(AC$6&gt;='W Assumptions'!$D$58,INDEX('W Assumptions'!$D$76:$F$76,1,2)*INDEX('W Assumptions'!$D$22:$F$22,1,2),0)</f>
        <v>31000</v>
      </c>
      <c r="AD26" s="81" t="n">
        <f aca="false">IF(AD$6&gt;='W Assumptions'!$D$58,INDEX('W Assumptions'!$D$76:$F$76,1,2)*INDEX('W Assumptions'!$D$22:$F$22,1,2),0)</f>
        <v>31000</v>
      </c>
      <c r="AE26" s="81" t="n">
        <f aca="false">IF(AE$6&gt;='W Assumptions'!$D$58,INDEX('W Assumptions'!$D$76:$F$76,1,2)*INDEX('W Assumptions'!$D$22:$F$22,1,2),0)</f>
        <v>31000</v>
      </c>
      <c r="AF26" s="81" t="n">
        <f aca="false">IF(AF$6&gt;='W Assumptions'!$D$58,INDEX('W Assumptions'!$D$76:$F$76,1,3)*INDEX('W Assumptions'!$D$22:$F$22,1,3),0)</f>
        <v>38000</v>
      </c>
      <c r="AG26" s="81" t="n">
        <f aca="false">IF(AG$6&gt;='W Assumptions'!$D$58,INDEX('W Assumptions'!$D$76:$F$76,1,3)*INDEX('W Assumptions'!$D$22:$F$22,1,3),0)</f>
        <v>38000</v>
      </c>
      <c r="AH26" s="81" t="n">
        <f aca="false">IF(AH$6&gt;='W Assumptions'!$D$58,INDEX('W Assumptions'!$D$76:$F$76,1,3)*INDEX('W Assumptions'!$D$22:$F$22,1,3),0)</f>
        <v>38000</v>
      </c>
      <c r="AI26" s="81" t="n">
        <f aca="false">IF(AI$6&gt;='W Assumptions'!$D$58,INDEX('W Assumptions'!$D$76:$F$76,1,3)*INDEX('W Assumptions'!$D$22:$F$22,1,3),0)</f>
        <v>38000</v>
      </c>
      <c r="AJ26" s="81" t="n">
        <f aca="false">IF(AJ$6&gt;='W Assumptions'!$D$58,INDEX('W Assumptions'!$D$76:$F$76,1,3)*INDEX('W Assumptions'!$D$22:$F$22,1,3),0)</f>
        <v>38000</v>
      </c>
      <c r="AK26" s="81" t="n">
        <f aca="false">IF(AK$6&gt;='W Assumptions'!$D$58,INDEX('W Assumptions'!$D$76:$F$76,1,3)*INDEX('W Assumptions'!$D$22:$F$22,1,3),0)</f>
        <v>38000</v>
      </c>
      <c r="AL26" s="81" t="n">
        <f aca="false">IF(AL$6&gt;='W Assumptions'!$D$58,INDEX('W Assumptions'!$D$76:$F$76,1,3)*INDEX('W Assumptions'!$D$22:$F$22,1,3),0)</f>
        <v>38000</v>
      </c>
      <c r="AM26" s="81" t="n">
        <f aca="false">IF(AM$6&gt;='W Assumptions'!$D$58,INDEX('W Assumptions'!$D$76:$F$76,1,3)*INDEX('W Assumptions'!$D$22:$F$22,1,3),0)</f>
        <v>38000</v>
      </c>
      <c r="AN26" s="81" t="n">
        <f aca="false">IF(AN$6&gt;='W Assumptions'!$D$58,INDEX('W Assumptions'!$D$76:$F$76,1,3)*INDEX('W Assumptions'!$D$22:$F$22,1,3),0)</f>
        <v>38000</v>
      </c>
      <c r="AO26" s="81" t="n">
        <f aca="false">IF(AO$6&gt;='W Assumptions'!$D$58,INDEX('W Assumptions'!$D$76:$F$76,1,3)*INDEX('W Assumptions'!$D$22:$F$22,1,3),0)</f>
        <v>38000</v>
      </c>
      <c r="AP26" s="81" t="n">
        <f aca="false">IF(AP$6&gt;='W Assumptions'!$D$58,INDEX('W Assumptions'!$D$76:$F$76,1,3)*INDEX('W Assumptions'!$D$22:$F$22,1,3),0)</f>
        <v>38000</v>
      </c>
      <c r="AQ26" s="81" t="n">
        <f aca="false">IF(AQ$6&gt;='W Assumptions'!$D$58,INDEX('W Assumptions'!$D$76:$F$76,1,3)*INDEX('W Assumptions'!$D$22:$F$22,1,3),0)</f>
        <v>38000</v>
      </c>
    </row>
    <row r="27" customFormat="false" ht="21" hidden="false" customHeight="true" outlineLevel="0" collapsed="false">
      <c r="C27" s="74" t="s">
        <v>780</v>
      </c>
      <c r="D27" s="109" t="n">
        <f aca="false">SUM(H27:S27)</f>
        <v>50000</v>
      </c>
      <c r="E27" s="109" t="n">
        <f aca="false">SUM(T27:AE27)</f>
        <v>0</v>
      </c>
      <c r="F27" s="109" t="n">
        <f aca="false">SUM(AF27:AQ27)</f>
        <v>0</v>
      </c>
      <c r="G27" s="79"/>
      <c r="H27" s="81" t="n">
        <f aca="false">IF(H$6=DATE(YEAR('W Assumptions'!$D$58),MONTH('W Assumptions'!$D$58),1),'W Assumptions'!$D$61,0)</f>
        <v>0</v>
      </c>
      <c r="I27" s="81" t="n">
        <f aca="false">IF(I$6=DATE(YEAR('W Assumptions'!$D$58),MONTH('W Assumptions'!$D$58),1),'W Assumptions'!$D$61,0)</f>
        <v>50000</v>
      </c>
      <c r="J27" s="81" t="n">
        <f aca="false">IF(J$6=DATE(YEAR('W Assumptions'!$D$58),MONTH('W Assumptions'!$D$58),1),'W Assumptions'!$D$61,0)</f>
        <v>0</v>
      </c>
      <c r="K27" s="81" t="n">
        <f aca="false">IF(K$6=DATE(YEAR('W Assumptions'!$D$58),MONTH('W Assumptions'!$D$58),1),'W Assumptions'!$D$61,0)</f>
        <v>0</v>
      </c>
      <c r="L27" s="81" t="n">
        <f aca="false">IF(L$6=DATE(YEAR('W Assumptions'!$D$58),MONTH('W Assumptions'!$D$58),1),'W Assumptions'!$D$61,0)</f>
        <v>0</v>
      </c>
      <c r="M27" s="81" t="n">
        <f aca="false">IF(M$6=DATE(YEAR('W Assumptions'!$D$58),MONTH('W Assumptions'!$D$58),1),'W Assumptions'!$D$61,0)</f>
        <v>0</v>
      </c>
      <c r="N27" s="81" t="n">
        <f aca="false">IF(N$6=DATE(YEAR('W Assumptions'!$D$58),MONTH('W Assumptions'!$D$58),1),'W Assumptions'!$D$61,0)</f>
        <v>0</v>
      </c>
      <c r="O27" s="81" t="n">
        <f aca="false">IF(O$6=DATE(YEAR('W Assumptions'!$D$58),MONTH('W Assumptions'!$D$58),1),'W Assumptions'!$D$61,0)</f>
        <v>0</v>
      </c>
      <c r="P27" s="81" t="n">
        <f aca="false">IF(P$6=DATE(YEAR('W Assumptions'!$D$58),MONTH('W Assumptions'!$D$58),1),'W Assumptions'!$D$61,0)</f>
        <v>0</v>
      </c>
      <c r="Q27" s="81" t="n">
        <f aca="false">IF(Q$6=DATE(YEAR('W Assumptions'!$D$58),MONTH('W Assumptions'!$D$58),1),'W Assumptions'!$D$61,0)</f>
        <v>0</v>
      </c>
      <c r="R27" s="81" t="n">
        <f aca="false">IF(R$6=DATE(YEAR('W Assumptions'!$D$58),MONTH('W Assumptions'!$D$58),1),'W Assumptions'!$D$61,0)</f>
        <v>0</v>
      </c>
      <c r="S27" s="81" t="n">
        <f aca="false">IF(S$6=DATE(YEAR('W Assumptions'!$D$58),MONTH('W Assumptions'!$D$58),1),'W Assumptions'!$D$61,0)</f>
        <v>0</v>
      </c>
      <c r="T27" s="81" t="n">
        <f aca="false">IF(T$6=DATE(YEAR('W Assumptions'!$D$58),MONTH('W Assumptions'!$D$58),1),'W Assumptions'!$D$61,0)</f>
        <v>0</v>
      </c>
      <c r="U27" s="81" t="n">
        <f aca="false">IF(U$6=DATE(YEAR('W Assumptions'!$D$58),MONTH('W Assumptions'!$D$58),1),'W Assumptions'!$D$61,0)</f>
        <v>0</v>
      </c>
      <c r="V27" s="81" t="n">
        <f aca="false">IF(V$6=DATE(YEAR('W Assumptions'!$D$58),MONTH('W Assumptions'!$D$58),1),'W Assumptions'!$D$61,0)</f>
        <v>0</v>
      </c>
      <c r="W27" s="81" t="n">
        <f aca="false">IF(W$6=DATE(YEAR('W Assumptions'!$D$58),MONTH('W Assumptions'!$D$58),1),'W Assumptions'!$D$61,0)</f>
        <v>0</v>
      </c>
      <c r="X27" s="81" t="n">
        <f aca="false">IF(X$6=DATE(YEAR('W Assumptions'!$D$58),MONTH('W Assumptions'!$D$58),1),'W Assumptions'!$D$61,0)</f>
        <v>0</v>
      </c>
      <c r="Y27" s="81" t="n">
        <f aca="false">IF(Y$6=DATE(YEAR('W Assumptions'!$D$58),MONTH('W Assumptions'!$D$58),1),'W Assumptions'!$D$61,0)</f>
        <v>0</v>
      </c>
      <c r="Z27" s="81" t="n">
        <f aca="false">IF(Z$6=DATE(YEAR('W Assumptions'!$D$58),MONTH('W Assumptions'!$D$58),1),'W Assumptions'!$D$61,0)</f>
        <v>0</v>
      </c>
      <c r="AA27" s="81" t="n">
        <f aca="false">IF(AA$6=DATE(YEAR('W Assumptions'!$D$58),MONTH('W Assumptions'!$D$58),1),'W Assumptions'!$D$61,0)</f>
        <v>0</v>
      </c>
      <c r="AB27" s="81" t="n">
        <f aca="false">IF(AB$6=DATE(YEAR('W Assumptions'!$D$58),MONTH('W Assumptions'!$D$58),1),'W Assumptions'!$D$61,0)</f>
        <v>0</v>
      </c>
      <c r="AC27" s="81" t="n">
        <f aca="false">IF(AC$6=DATE(YEAR('W Assumptions'!$D$58),MONTH('W Assumptions'!$D$58),1),'W Assumptions'!$D$61,0)</f>
        <v>0</v>
      </c>
      <c r="AD27" s="81" t="n">
        <f aca="false">IF(AD$6=DATE(YEAR('W Assumptions'!$D$58),MONTH('W Assumptions'!$D$58),1),'W Assumptions'!$D$61,0)</f>
        <v>0</v>
      </c>
      <c r="AE27" s="81" t="n">
        <f aca="false">IF(AE$6=DATE(YEAR('W Assumptions'!$D$58),MONTH('W Assumptions'!$D$58),1),'W Assumptions'!$D$61,0)</f>
        <v>0</v>
      </c>
      <c r="AF27" s="81" t="n">
        <f aca="false">IF(AF$6=DATE(YEAR('W Assumptions'!$D$58),MONTH('W Assumptions'!$D$58),1),'W Assumptions'!$D$61,0)</f>
        <v>0</v>
      </c>
      <c r="AG27" s="81" t="n">
        <f aca="false">IF(AG$6=DATE(YEAR('W Assumptions'!$D$58),MONTH('W Assumptions'!$D$58),1),'W Assumptions'!$D$61,0)</f>
        <v>0</v>
      </c>
      <c r="AH27" s="81" t="n">
        <f aca="false">IF(AH$6=DATE(YEAR('W Assumptions'!$D$58),MONTH('W Assumptions'!$D$58),1),'W Assumptions'!$D$61,0)</f>
        <v>0</v>
      </c>
      <c r="AI27" s="81" t="n">
        <f aca="false">IF(AI$6=DATE(YEAR('W Assumptions'!$D$58),MONTH('W Assumptions'!$D$58),1),'W Assumptions'!$D$61,0)</f>
        <v>0</v>
      </c>
      <c r="AJ27" s="81" t="n">
        <f aca="false">IF(AJ$6=DATE(YEAR('W Assumptions'!$D$58),MONTH('W Assumptions'!$D$58),1),'W Assumptions'!$D$61,0)</f>
        <v>0</v>
      </c>
      <c r="AK27" s="81" t="n">
        <f aca="false">IF(AK$6=DATE(YEAR('W Assumptions'!$D$58),MONTH('W Assumptions'!$D$58),1),'W Assumptions'!$D$61,0)</f>
        <v>0</v>
      </c>
      <c r="AL27" s="81" t="n">
        <f aca="false">IF(AL$6=DATE(YEAR('W Assumptions'!$D$58),MONTH('W Assumptions'!$D$58),1),'W Assumptions'!$D$61,0)</f>
        <v>0</v>
      </c>
      <c r="AM27" s="81" t="n">
        <f aca="false">IF(AM$6=DATE(YEAR('W Assumptions'!$D$58),MONTH('W Assumptions'!$D$58),1),'W Assumptions'!$D$61,0)</f>
        <v>0</v>
      </c>
      <c r="AN27" s="81" t="n">
        <f aca="false">IF(AN$6=DATE(YEAR('W Assumptions'!$D$58),MONTH('W Assumptions'!$D$58),1),'W Assumptions'!$D$61,0)</f>
        <v>0</v>
      </c>
      <c r="AO27" s="81" t="n">
        <f aca="false">IF(AO$6=DATE(YEAR('W Assumptions'!$D$58),MONTH('W Assumptions'!$D$58),1),'W Assumptions'!$D$61,0)</f>
        <v>0</v>
      </c>
      <c r="AP27" s="81" t="n">
        <f aca="false">IF(AP$6=DATE(YEAR('W Assumptions'!$D$58),MONTH('W Assumptions'!$D$58),1),'W Assumptions'!$D$61,0)</f>
        <v>0</v>
      </c>
      <c r="AQ27" s="81" t="n">
        <f aca="false">IF(AQ$6=DATE(YEAR('W Assumptions'!$D$58),MONTH('W Assumptions'!$D$58),1),'W Assumptions'!$D$61,0)</f>
        <v>0</v>
      </c>
    </row>
    <row r="28" customFormat="false" ht="21" hidden="false" customHeight="true" outlineLevel="0" collapsed="false">
      <c r="C28" s="74" t="s">
        <v>781</v>
      </c>
      <c r="D28" s="109" t="n">
        <f aca="false">SUM(H28:S28)</f>
        <v>80000</v>
      </c>
      <c r="E28" s="109" t="n">
        <f aca="false">SUM(T28:AE28)</f>
        <v>0</v>
      </c>
      <c r="F28" s="109" t="n">
        <f aca="false">SUM(AF28:AQ28)</f>
        <v>0</v>
      </c>
      <c r="G28" s="79"/>
      <c r="H28" s="81" t="n">
        <f aca="false">IF(H$6=DATE(YEAR('W Assumptions'!$D$58),MONTH('W Assumptions'!$D$58),1),'W Assumptions'!$D$51,0)</f>
        <v>0</v>
      </c>
      <c r="I28" s="81" t="n">
        <f aca="false">IF(I$6=DATE(YEAR('W Assumptions'!$D$58),MONTH('W Assumptions'!$D$58),1),'W Assumptions'!$D$51,0)</f>
        <v>80000</v>
      </c>
      <c r="J28" s="81" t="n">
        <f aca="false">IF(J$6=DATE(YEAR('W Assumptions'!$D$58),MONTH('W Assumptions'!$D$58),1),'W Assumptions'!$D$51,0)</f>
        <v>0</v>
      </c>
      <c r="K28" s="81" t="n">
        <f aca="false">IF(K$6=DATE(YEAR('W Assumptions'!$D$58),MONTH('W Assumptions'!$D$58),1),'W Assumptions'!$D$51,0)</f>
        <v>0</v>
      </c>
      <c r="L28" s="81" t="n">
        <f aca="false">IF(L$6=DATE(YEAR('W Assumptions'!$D$58),MONTH('W Assumptions'!$D$58),1),'W Assumptions'!$D$51,0)</f>
        <v>0</v>
      </c>
      <c r="M28" s="81" t="n">
        <f aca="false">IF(M$6=DATE(YEAR('W Assumptions'!$D$58),MONTH('W Assumptions'!$D$58),1),'W Assumptions'!$D$51,0)</f>
        <v>0</v>
      </c>
      <c r="N28" s="81" t="n">
        <f aca="false">IF(N$6=DATE(YEAR('W Assumptions'!$D$58),MONTH('W Assumptions'!$D$58),1),'W Assumptions'!$D$51,0)</f>
        <v>0</v>
      </c>
      <c r="O28" s="81" t="n">
        <f aca="false">IF(O$6=DATE(YEAR('W Assumptions'!$D$58),MONTH('W Assumptions'!$D$58),1),'W Assumptions'!$D$51,0)</f>
        <v>0</v>
      </c>
      <c r="P28" s="81" t="n">
        <f aca="false">IF(P$6=DATE(YEAR('W Assumptions'!$D$58),MONTH('W Assumptions'!$D$58),1),'W Assumptions'!$D$51,0)</f>
        <v>0</v>
      </c>
      <c r="Q28" s="81" t="n">
        <f aca="false">IF(Q$6=DATE(YEAR('W Assumptions'!$D$58),MONTH('W Assumptions'!$D$58),1),'W Assumptions'!$D$51,0)</f>
        <v>0</v>
      </c>
      <c r="R28" s="81" t="n">
        <f aca="false">IF(R$6=DATE(YEAR('W Assumptions'!$D$58),MONTH('W Assumptions'!$D$58),1),'W Assumptions'!$D$51,0)</f>
        <v>0</v>
      </c>
      <c r="S28" s="81" t="n">
        <f aca="false">IF(S$6=DATE(YEAR('W Assumptions'!$D$58),MONTH('W Assumptions'!$D$58),1),'W Assumptions'!$D$51,0)</f>
        <v>0</v>
      </c>
      <c r="T28" s="81" t="n">
        <f aca="false">IF(T$6=DATE(YEAR('W Assumptions'!$D$58),MONTH('W Assumptions'!$D$58),1),'W Assumptions'!$D$51,0)</f>
        <v>0</v>
      </c>
      <c r="U28" s="81" t="n">
        <f aca="false">IF(U$6=DATE(YEAR('W Assumptions'!$D$58),MONTH('W Assumptions'!$D$58),1),'W Assumptions'!$D$51,0)</f>
        <v>0</v>
      </c>
      <c r="V28" s="81" t="n">
        <f aca="false">IF(V$6=DATE(YEAR('W Assumptions'!$D$58),MONTH('W Assumptions'!$D$58),1),'W Assumptions'!$D$51,0)</f>
        <v>0</v>
      </c>
      <c r="W28" s="81" t="n">
        <f aca="false">IF(W$6=DATE(YEAR('W Assumptions'!$D$58),MONTH('W Assumptions'!$D$58),1),'W Assumptions'!$D$51,0)</f>
        <v>0</v>
      </c>
      <c r="X28" s="81" t="n">
        <f aca="false">IF(X$6=DATE(YEAR('W Assumptions'!$D$58),MONTH('W Assumptions'!$D$58),1),'W Assumptions'!$D$51,0)</f>
        <v>0</v>
      </c>
      <c r="Y28" s="81" t="n">
        <f aca="false">IF(Y$6=DATE(YEAR('W Assumptions'!$D$58),MONTH('W Assumptions'!$D$58),1),'W Assumptions'!$D$51,0)</f>
        <v>0</v>
      </c>
      <c r="Z28" s="81" t="n">
        <f aca="false">IF(Z$6=DATE(YEAR('W Assumptions'!$D$58),MONTH('W Assumptions'!$D$58),1),'W Assumptions'!$D$51,0)</f>
        <v>0</v>
      </c>
      <c r="AA28" s="81" t="n">
        <f aca="false">IF(AA$6=DATE(YEAR('W Assumptions'!$D$58),MONTH('W Assumptions'!$D$58),1),'W Assumptions'!$D$51,0)</f>
        <v>0</v>
      </c>
      <c r="AB28" s="81" t="n">
        <f aca="false">IF(AB$6=DATE(YEAR('W Assumptions'!$D$58),MONTH('W Assumptions'!$D$58),1),'W Assumptions'!$D$51,0)</f>
        <v>0</v>
      </c>
      <c r="AC28" s="81" t="n">
        <f aca="false">IF(AC$6=DATE(YEAR('W Assumptions'!$D$58),MONTH('W Assumptions'!$D$58),1),'W Assumptions'!$D$51,0)</f>
        <v>0</v>
      </c>
      <c r="AD28" s="81" t="n">
        <f aca="false">IF(AD$6=DATE(YEAR('W Assumptions'!$D$58),MONTH('W Assumptions'!$D$58),1),'W Assumptions'!$D$51,0)</f>
        <v>0</v>
      </c>
      <c r="AE28" s="81" t="n">
        <f aca="false">IF(AE$6=DATE(YEAR('W Assumptions'!$D$58),MONTH('W Assumptions'!$D$58),1),'W Assumptions'!$D$51,0)</f>
        <v>0</v>
      </c>
      <c r="AF28" s="81" t="n">
        <f aca="false">IF(AF$6=DATE(YEAR('W Assumptions'!$D$58),MONTH('W Assumptions'!$D$58),1),'W Assumptions'!$D$51,0)</f>
        <v>0</v>
      </c>
      <c r="AG28" s="81" t="n">
        <f aca="false">IF(AG$6=DATE(YEAR('W Assumptions'!$D$58),MONTH('W Assumptions'!$D$58),1),'W Assumptions'!$D$51,0)</f>
        <v>0</v>
      </c>
      <c r="AH28" s="81" t="n">
        <f aca="false">IF(AH$6=DATE(YEAR('W Assumptions'!$D$58),MONTH('W Assumptions'!$D$58),1),'W Assumptions'!$D$51,0)</f>
        <v>0</v>
      </c>
      <c r="AI28" s="81" t="n">
        <f aca="false">IF(AI$6=DATE(YEAR('W Assumptions'!$D$58),MONTH('W Assumptions'!$D$58),1),'W Assumptions'!$D$51,0)</f>
        <v>0</v>
      </c>
      <c r="AJ28" s="81" t="n">
        <f aca="false">IF(AJ$6=DATE(YEAR('W Assumptions'!$D$58),MONTH('W Assumptions'!$D$58),1),'W Assumptions'!$D$51,0)</f>
        <v>0</v>
      </c>
      <c r="AK28" s="81" t="n">
        <f aca="false">IF(AK$6=DATE(YEAR('W Assumptions'!$D$58),MONTH('W Assumptions'!$D$58),1),'W Assumptions'!$D$51,0)</f>
        <v>0</v>
      </c>
      <c r="AL28" s="81" t="n">
        <f aca="false">IF(AL$6=DATE(YEAR('W Assumptions'!$D$58),MONTH('W Assumptions'!$D$58),1),'W Assumptions'!$D$51,0)</f>
        <v>0</v>
      </c>
      <c r="AM28" s="81" t="n">
        <f aca="false">IF(AM$6=DATE(YEAR('W Assumptions'!$D$58),MONTH('W Assumptions'!$D$58),1),'W Assumptions'!$D$51,0)</f>
        <v>0</v>
      </c>
      <c r="AN28" s="81" t="n">
        <f aca="false">IF(AN$6=DATE(YEAR('W Assumptions'!$D$58),MONTH('W Assumptions'!$D$58),1),'W Assumptions'!$D$51,0)</f>
        <v>0</v>
      </c>
      <c r="AO28" s="81" t="n">
        <f aca="false">IF(AO$6=DATE(YEAR('W Assumptions'!$D$58),MONTH('W Assumptions'!$D$58),1),'W Assumptions'!$D$51,0)</f>
        <v>0</v>
      </c>
      <c r="AP28" s="81" t="n">
        <f aca="false">IF(AP$6=DATE(YEAR('W Assumptions'!$D$58),MONTH('W Assumptions'!$D$58),1),'W Assumptions'!$D$51,0)</f>
        <v>0</v>
      </c>
      <c r="AQ28" s="81" t="n">
        <f aca="false">IF(AQ$6=DATE(YEAR('W Assumptions'!$D$58),MONTH('W Assumptions'!$D$58),1),'W Assumptions'!$D$51,0)</f>
        <v>0</v>
      </c>
    </row>
    <row r="29" customFormat="false" ht="28.5" hidden="false" customHeight="true" outlineLevel="0" collapsed="false">
      <c r="C29" s="111" t="s">
        <v>782</v>
      </c>
      <c r="D29" s="109" t="n">
        <f aca="false">SUM(H29:S29)</f>
        <v>238700</v>
      </c>
      <c r="E29" s="109" t="n">
        <f aca="false">SUM(T29:AE29)</f>
        <v>260400</v>
      </c>
      <c r="F29" s="109" t="n">
        <f aca="false">SUM(AF29:AQ29)</f>
        <v>260400</v>
      </c>
      <c r="G29" s="79"/>
      <c r="H29" s="112" t="n">
        <f aca="false">'W Fees &amp; KPI'!I6</f>
        <v>0</v>
      </c>
      <c r="I29" s="112" t="n">
        <f aca="false">'W Fees &amp; KPI'!I7</f>
        <v>21700</v>
      </c>
      <c r="J29" s="112" t="n">
        <f aca="false">'W Fees &amp; KPI'!I8</f>
        <v>21700</v>
      </c>
      <c r="K29" s="112" t="n">
        <f aca="false">'W Fees &amp; KPI'!I9</f>
        <v>21700</v>
      </c>
      <c r="L29" s="112" t="n">
        <f aca="false">'W Fees &amp; KPI'!I10</f>
        <v>21700</v>
      </c>
      <c r="M29" s="112" t="n">
        <f aca="false">'W Fees &amp; KPI'!I11</f>
        <v>21700</v>
      </c>
      <c r="N29" s="112" t="n">
        <f aca="false">'W Fees &amp; KPI'!I12</f>
        <v>21700</v>
      </c>
      <c r="O29" s="112" t="n">
        <f aca="false">'W Fees &amp; KPI'!I13</f>
        <v>21700</v>
      </c>
      <c r="P29" s="112" t="n">
        <f aca="false">'W Fees &amp; KPI'!I14</f>
        <v>21700</v>
      </c>
      <c r="Q29" s="112" t="n">
        <f aca="false">'W Fees &amp; KPI'!I15</f>
        <v>21700</v>
      </c>
      <c r="R29" s="112" t="n">
        <f aca="false">'W Fees &amp; KPI'!I16</f>
        <v>21700</v>
      </c>
      <c r="S29" s="112" t="n">
        <f aca="false">'W Fees &amp; KPI'!I17</f>
        <v>21700</v>
      </c>
      <c r="T29" s="112" t="n">
        <f aca="false">'W Fees &amp; KPI'!I18</f>
        <v>21700</v>
      </c>
      <c r="U29" s="112" t="n">
        <f aca="false">'W Fees &amp; KPI'!I19</f>
        <v>21700</v>
      </c>
      <c r="V29" s="112" t="n">
        <f aca="false">'W Fees &amp; KPI'!I20</f>
        <v>21700</v>
      </c>
      <c r="W29" s="112" t="n">
        <f aca="false">'W Fees &amp; KPI'!I21</f>
        <v>21700</v>
      </c>
      <c r="X29" s="112" t="n">
        <f aca="false">'W Fees &amp; KPI'!I22</f>
        <v>21700</v>
      </c>
      <c r="Y29" s="112" t="n">
        <f aca="false">'W Fees &amp; KPI'!I23</f>
        <v>21700</v>
      </c>
      <c r="Z29" s="112" t="n">
        <f aca="false">'W Fees &amp; KPI'!I24</f>
        <v>21700</v>
      </c>
      <c r="AA29" s="112" t="n">
        <f aca="false">'W Fees &amp; KPI'!I25</f>
        <v>21700</v>
      </c>
      <c r="AB29" s="112" t="n">
        <f aca="false">'W Fees &amp; KPI'!I26</f>
        <v>21700</v>
      </c>
      <c r="AC29" s="112" t="n">
        <f aca="false">'W Fees &amp; KPI'!I27</f>
        <v>21700</v>
      </c>
      <c r="AD29" s="112" t="n">
        <f aca="false">'W Fees &amp; KPI'!I28</f>
        <v>21700</v>
      </c>
      <c r="AE29" s="112" t="n">
        <f aca="false">'W Fees &amp; KPI'!I29</f>
        <v>21700</v>
      </c>
      <c r="AF29" s="112" t="n">
        <f aca="false">'W Fees &amp; KPI'!I30</f>
        <v>21700</v>
      </c>
      <c r="AG29" s="112" t="n">
        <f aca="false">'W Fees &amp; KPI'!I31</f>
        <v>21700</v>
      </c>
      <c r="AH29" s="112" t="n">
        <f aca="false">'W Fees &amp; KPI'!I32</f>
        <v>21700</v>
      </c>
      <c r="AI29" s="112" t="n">
        <f aca="false">'W Fees &amp; KPI'!I33</f>
        <v>21700</v>
      </c>
      <c r="AJ29" s="112" t="n">
        <f aca="false">'W Fees &amp; KPI'!I34</f>
        <v>21700</v>
      </c>
      <c r="AK29" s="112" t="n">
        <f aca="false">'W Fees &amp; KPI'!I35</f>
        <v>21700</v>
      </c>
      <c r="AL29" s="112" t="n">
        <f aca="false">'W Fees &amp; KPI'!I36</f>
        <v>21700</v>
      </c>
      <c r="AM29" s="112" t="n">
        <f aca="false">'W Fees &amp; KPI'!I37</f>
        <v>21700</v>
      </c>
      <c r="AN29" s="112" t="n">
        <f aca="false">'W Fees &amp; KPI'!I38</f>
        <v>21700</v>
      </c>
      <c r="AO29" s="112" t="n">
        <f aca="false">'W Fees &amp; KPI'!I39</f>
        <v>21700</v>
      </c>
      <c r="AP29" s="112" t="n">
        <f aca="false">'W Fees &amp; KPI'!I40</f>
        <v>21700</v>
      </c>
      <c r="AQ29" s="112" t="n">
        <f aca="false">'W Fees &amp; KPI'!I41</f>
        <v>21700</v>
      </c>
    </row>
    <row r="30" customFormat="false" ht="28.5" hidden="false" customHeight="true" outlineLevel="0" collapsed="false">
      <c r="C30" s="111" t="s">
        <v>783</v>
      </c>
      <c r="D30" s="109" t="n">
        <f aca="false">SUM(H30:S30)</f>
        <v>248042.221026848</v>
      </c>
      <c r="E30" s="109" t="n">
        <f aca="false">SUM(T30:AE30)</f>
        <v>519449.989391305</v>
      </c>
      <c r="F30" s="109" t="n">
        <f aca="false">SUM(AF30:AQ30)</f>
        <v>755816.674318887</v>
      </c>
      <c r="G30" s="79"/>
      <c r="H30" s="112" t="n">
        <f aca="false">'W Fees &amp; KPI'!S6</f>
        <v>0</v>
      </c>
      <c r="I30" s="112" t="n">
        <f aca="false">'W Fees &amp; KPI'!S7</f>
        <v>7755.97070593735</v>
      </c>
      <c r="J30" s="112" t="n">
        <f aca="false">'W Fees &amp; KPI'!S8</f>
        <v>3620.90028985507</v>
      </c>
      <c r="K30" s="112" t="n">
        <f aca="false">'W Fees &amp; KPI'!S9</f>
        <v>25520.0479824561</v>
      </c>
      <c r="L30" s="112" t="n">
        <f aca="false">'W Fees &amp; KPI'!S10</f>
        <v>19640.2073989321</v>
      </c>
      <c r="M30" s="112" t="n">
        <f aca="false">'W Fees &amp; KPI'!S11</f>
        <v>18147.3828647706</v>
      </c>
      <c r="N30" s="112" t="n">
        <f aca="false">'W Fees &amp; KPI'!S12</f>
        <v>33214.3139206713</v>
      </c>
      <c r="O30" s="112" t="n">
        <f aca="false">'W Fees &amp; KPI'!S13</f>
        <v>32981.5378337147</v>
      </c>
      <c r="P30" s="112" t="n">
        <f aca="false">'W Fees &amp; KPI'!S14</f>
        <v>23521.7313119756</v>
      </c>
      <c r="Q30" s="112" t="n">
        <f aca="false">'W Fees &amp; KPI'!S15</f>
        <v>24320.0052250191</v>
      </c>
      <c r="R30" s="112" t="n">
        <f aca="false">'W Fees &amp; KPI'!S16</f>
        <v>29301.0052250191</v>
      </c>
      <c r="S30" s="112" t="n">
        <f aca="false">'W Fees &amp; KPI'!S17</f>
        <v>30019.1182684973</v>
      </c>
      <c r="T30" s="112" t="n">
        <f aca="false">'W Fees &amp; KPI'!S18</f>
        <v>36125.7324492754</v>
      </c>
      <c r="U30" s="112" t="n">
        <f aca="false">'W Fees &amp; KPI'!S19</f>
        <v>46008.2257384058</v>
      </c>
      <c r="V30" s="112" t="n">
        <f aca="false">'W Fees &amp; KPI'!S20</f>
        <v>42691.0690275362</v>
      </c>
      <c r="W30" s="112" t="n">
        <f aca="false">'W Fees &amp; KPI'!S21</f>
        <v>60493.3523166667</v>
      </c>
      <c r="X30" s="112" t="n">
        <f aca="false">'W Fees &amp; KPI'!S22</f>
        <v>46008.2257384058</v>
      </c>
      <c r="Y30" s="112" t="n">
        <f aca="false">'W Fees &amp; KPI'!S23</f>
        <v>36125.7324492754</v>
      </c>
      <c r="Z30" s="112" t="n">
        <f aca="false">'W Fees &amp; KPI'!S24</f>
        <v>48336.7890275363</v>
      </c>
      <c r="AA30" s="112" t="n">
        <f aca="false">'W Fees &amp; KPI'!S25</f>
        <v>46374.0857384058</v>
      </c>
      <c r="AB30" s="112" t="n">
        <f aca="false">'W Fees &amp; KPI'!S26</f>
        <v>36125.7324492754</v>
      </c>
      <c r="AC30" s="112" t="n">
        <f aca="false">'W Fees &amp; KPI'!S27</f>
        <v>36560.5692927536</v>
      </c>
      <c r="AD30" s="112" t="n">
        <f aca="false">'W Fees &amp; KPI'!S28</f>
        <v>41840.4292927536</v>
      </c>
      <c r="AE30" s="112" t="n">
        <f aca="false">'W Fees &amp; KPI'!S29</f>
        <v>42760.0458710145</v>
      </c>
      <c r="AF30" s="112" t="n">
        <f aca="false">'W Fees &amp; KPI'!S30</f>
        <v>55360.4901932406</v>
      </c>
      <c r="AG30" s="112" t="n">
        <f aca="false">'W Fees &amp; KPI'!S31</f>
        <v>65938.7787320693</v>
      </c>
      <c r="AH30" s="112" t="n">
        <f aca="false">'W Fees &amp; KPI'!S32</f>
        <v>62525.438270898</v>
      </c>
      <c r="AI30" s="112" t="n">
        <f aca="false">'W Fees &amp; KPI'!S33</f>
        <v>81498.7042097267</v>
      </c>
      <c r="AJ30" s="112" t="n">
        <f aca="false">'W Fees &amp; KPI'!S34</f>
        <v>65938.7787320693</v>
      </c>
      <c r="AK30" s="112" t="n">
        <f aca="false">'W Fees &amp; KPI'!S35</f>
        <v>55360.4901932406</v>
      </c>
      <c r="AL30" s="112" t="n">
        <f aca="false">'W Fees &amp; KPI'!S36</f>
        <v>68608.181470898</v>
      </c>
      <c r="AM30" s="112" t="n">
        <f aca="false">'W Fees &amp; KPI'!S37</f>
        <v>66424.8703320692</v>
      </c>
      <c r="AN30" s="112" t="n">
        <f aca="false">'W Fees &amp; KPI'!S38</f>
        <v>55360.4901932407</v>
      </c>
      <c r="AO30" s="112" t="n">
        <f aca="false">'W Fees &amp; KPI'!S39</f>
        <v>55508.3146379258</v>
      </c>
      <c r="AP30" s="112" t="n">
        <f aca="false">'W Fees &amp; KPI'!S40</f>
        <v>61104.9662379258</v>
      </c>
      <c r="AQ30" s="112" t="n">
        <f aca="false">'W Fees &amp; KPI'!S41</f>
        <v>62187.1711155832</v>
      </c>
    </row>
    <row r="31" customFormat="false" ht="21" hidden="false" customHeight="true" outlineLevel="0" collapsed="false">
      <c r="C31" s="86" t="s">
        <v>784</v>
      </c>
      <c r="D31" s="94" t="n">
        <f aca="false">SUM(H31:S31)</f>
        <v>10053729.734471</v>
      </c>
      <c r="E31" s="94" t="n">
        <f aca="false">SUM(T31:AE31)</f>
        <v>14815497.3493913</v>
      </c>
      <c r="F31" s="94" t="n">
        <f aca="false">SUM(AF31:AQ31)</f>
        <v>18574863.5751829</v>
      </c>
      <c r="G31" s="110"/>
      <c r="H31" s="94" t="n">
        <f aca="false">SUM(H12:H18,H22:H30)</f>
        <v>169933.333333333</v>
      </c>
      <c r="I31" s="94" t="n">
        <f aca="false">SUM(I12:I18,I22:I30)</f>
        <v>500259.578560075</v>
      </c>
      <c r="J31" s="94" t="n">
        <f aca="false">SUM(J12:J18,J22:J30)</f>
        <v>514173.35826087</v>
      </c>
      <c r="K31" s="94" t="n">
        <f aca="false">SUM(K12:K18,K22:K30)</f>
        <v>740630.447982456</v>
      </c>
      <c r="L31" s="94" t="n">
        <f aca="false">SUM(L12:L18,L22:L30)</f>
        <v>929402.772616323</v>
      </c>
      <c r="M31" s="94" t="n">
        <f aca="false">SUM(M12:M18,M22:M30)</f>
        <v>876266.83628092</v>
      </c>
      <c r="N31" s="94" t="n">
        <f aca="false">SUM(N12:N18,N22:N30)</f>
        <v>1098217.00957285</v>
      </c>
      <c r="O31" s="94" t="n">
        <f aca="false">SUM(O12:O18,O22:O30)</f>
        <v>1100134.53783371</v>
      </c>
      <c r="P31" s="94" t="n">
        <f aca="false">SUM(P12:P18,P22:P30)</f>
        <v>991741.731311976</v>
      </c>
      <c r="Q31" s="94" t="n">
        <f aca="false">SUM(Q12:Q18,Q22:Q30)</f>
        <v>1069308.00522502</v>
      </c>
      <c r="R31" s="94" t="n">
        <f aca="false">SUM(R12:R18,R22:R30)</f>
        <v>1074289.00522502</v>
      </c>
      <c r="S31" s="94" t="n">
        <f aca="false">SUM(S12:S18,S22:S30)</f>
        <v>989373.118268497</v>
      </c>
      <c r="T31" s="94" t="n">
        <f aca="false">SUM(T12:T18,T22:T30)</f>
        <v>1194703.01244928</v>
      </c>
      <c r="U31" s="94" t="n">
        <f aca="false">SUM(U12:U18,U22:U30)</f>
        <v>1209608.09473841</v>
      </c>
      <c r="V31" s="94" t="n">
        <f aca="false">SUM(V12:V18,V22:V30)</f>
        <v>1211313.52702754</v>
      </c>
      <c r="W31" s="94" t="n">
        <f aca="false">SUM(W12:W18,W22:W30)</f>
        <v>1234138.39931667</v>
      </c>
      <c r="X31" s="94" t="n">
        <f aca="false">SUM(X12:X18,X22:X30)</f>
        <v>1209608.09473841</v>
      </c>
      <c r="Y31" s="94" t="n">
        <f aca="false">SUM(Y12:Y18,Y22:Y30)</f>
        <v>1194703.01244928</v>
      </c>
      <c r="Z31" s="94" t="n">
        <f aca="false">SUM(Z12:Z18,Z22:Z30)</f>
        <v>1315239.24702754</v>
      </c>
      <c r="AA31" s="94" t="n">
        <f aca="false">SUM(AA12:AA18,AA22:AA30)</f>
        <v>1308253.95473841</v>
      </c>
      <c r="AB31" s="94" t="n">
        <f aca="false">SUM(AB12:AB18,AB22:AB30)</f>
        <v>1194703.01244928</v>
      </c>
      <c r="AC31" s="94" t="n">
        <f aca="false">SUM(AC12:AC18,AC22:AC30)</f>
        <v>1273327.49329275</v>
      </c>
      <c r="AD31" s="94" t="n">
        <f aca="false">SUM(AD12:AD18,AD22:AD30)</f>
        <v>1278607.35329275</v>
      </c>
      <c r="AE31" s="94" t="n">
        <f aca="false">SUM(AE12:AE18,AE22:AE30)</f>
        <v>1191292.14787101</v>
      </c>
      <c r="AF31" s="94" t="n">
        <f aca="false">SUM(AF12:AF18,AF22:AF30)</f>
        <v>1506210.66526524</v>
      </c>
      <c r="AG31" s="94" t="n">
        <f aca="false">SUM(AG12:AG18,AG22:AG30)</f>
        <v>1522376.08180767</v>
      </c>
      <c r="AH31" s="94" t="n">
        <f aca="false">SUM(AH12:AH18,AH22:AH30)</f>
        <v>1524549.8693501</v>
      </c>
      <c r="AI31" s="94" t="n">
        <f aca="false">SUM(AI12:AI18,AI22:AI30)</f>
        <v>1549110.26329253</v>
      </c>
      <c r="AJ31" s="94" t="n">
        <f aca="false">SUM(AJ12:AJ18,AJ22:AJ30)</f>
        <v>1522376.08180767</v>
      </c>
      <c r="AK31" s="94" t="n">
        <f aca="false">SUM(AK12:AK18,AK22:AK30)</f>
        <v>1506210.66526524</v>
      </c>
      <c r="AL31" s="94" t="n">
        <f aca="false">SUM(AL12:AL18,AL22:AL30)</f>
        <v>1632843.8125501</v>
      </c>
      <c r="AM31" s="94" t="n">
        <f aca="false">SUM(AM12:AM18,AM22:AM30)</f>
        <v>1625073.37340767</v>
      </c>
      <c r="AN31" s="94" t="n">
        <f aca="false">SUM(AN12:AN18,AN22:AN30)</f>
        <v>1506210.66526524</v>
      </c>
      <c r="AO31" s="94" t="n">
        <f aca="false">SUM(AO12:AO18,AO22:AO30)</f>
        <v>1586221.17769553</v>
      </c>
      <c r="AP31" s="94" t="n">
        <f aca="false">SUM(AP12:AP18,AP22:AP30)</f>
        <v>1591817.82929553</v>
      </c>
      <c r="AQ31" s="94" t="n">
        <f aca="false">SUM(AQ12:AQ18,AQ22:AQ30)</f>
        <v>1501863.09018038</v>
      </c>
    </row>
    <row r="32" customFormat="false" ht="21" hidden="false" customHeight="true" outlineLevel="0" collapsed="false">
      <c r="C32" s="86" t="s">
        <v>785</v>
      </c>
      <c r="D32" s="94" t="n">
        <f aca="false">SUM(H32:S32)</f>
        <v>4625055.81062123</v>
      </c>
      <c r="E32" s="94" t="n">
        <f aca="false">SUM(T32:AE32)</f>
        <v>10234959.7984348</v>
      </c>
      <c r="F32" s="94" t="n">
        <f aca="false">SUM(AF32:AQ32)</f>
        <v>15894448.2120589</v>
      </c>
      <c r="G32" s="110"/>
      <c r="H32" s="94" t="n">
        <f aca="false">H10-H31</f>
        <v>-19328.8888888888</v>
      </c>
      <c r="I32" s="94" t="n">
        <f aca="false">I10-I31</f>
        <v>30440.2855180728</v>
      </c>
      <c r="J32" s="94" t="n">
        <f aca="false">J10-J31</f>
        <v>116960.789717773</v>
      </c>
      <c r="K32" s="94" t="n">
        <f aca="false">K10-K31</f>
        <v>491153.411666667</v>
      </c>
      <c r="L32" s="94" t="n">
        <f aca="false">L10-L31</f>
        <v>372422.624790236</v>
      </c>
      <c r="M32" s="94" t="n">
        <f aca="false">M10-M31</f>
        <v>344058.958641168</v>
      </c>
      <c r="N32" s="94" t="n">
        <f aca="false">N10-N31</f>
        <v>630330.64870328</v>
      </c>
      <c r="O32" s="94" t="n">
        <f aca="false">O10-O31</f>
        <v>625907.903051106</v>
      </c>
      <c r="P32" s="94" t="n">
        <f aca="false">P10-P31</f>
        <v>446171.579138063</v>
      </c>
      <c r="Q32" s="94" t="n">
        <f aca="false">Q10-Q31</f>
        <v>461338.783485889</v>
      </c>
      <c r="R32" s="94" t="n">
        <f aca="false">R10-R31</f>
        <v>555977.783485889</v>
      </c>
      <c r="S32" s="94" t="n">
        <f aca="false">S10-S31</f>
        <v>569621.931311976</v>
      </c>
      <c r="T32" s="94" t="n">
        <f aca="false">T10-T31</f>
        <v>716839.749869565</v>
      </c>
      <c r="U32" s="94" t="n">
        <f aca="false">U10-U31</f>
        <v>904607.122363043</v>
      </c>
      <c r="V32" s="94" t="n">
        <f aca="false">V10-V31</f>
        <v>841581.144856522</v>
      </c>
      <c r="W32" s="94" t="n">
        <f aca="false">W10-W31</f>
        <v>1179824.52735</v>
      </c>
      <c r="X32" s="94" t="n">
        <f aca="false">X10-X31</f>
        <v>904607.122363043</v>
      </c>
      <c r="Y32" s="94" t="n">
        <f aca="false">Y10-Y31</f>
        <v>716839.749869565</v>
      </c>
      <c r="Z32" s="94" t="n">
        <f aca="false">Z10-Z31</f>
        <v>948849.824856522</v>
      </c>
      <c r="AA32" s="94" t="n">
        <f aca="false">AA10-AA31</f>
        <v>911558.462363044</v>
      </c>
      <c r="AB32" s="94" t="n">
        <f aca="false">AB10-AB31</f>
        <v>716839.749869565</v>
      </c>
      <c r="AC32" s="94" t="n">
        <f aca="false">AC10-AC31</f>
        <v>725101.649895652</v>
      </c>
      <c r="AD32" s="94" t="n">
        <f aca="false">AD10-AD31</f>
        <v>825418.989895652</v>
      </c>
      <c r="AE32" s="94" t="n">
        <f aca="false">AE10-AE31</f>
        <v>842891.704882609</v>
      </c>
      <c r="AF32" s="94" t="n">
        <f aca="false">AF10-AF31</f>
        <v>1179676.93033824</v>
      </c>
      <c r="AG32" s="94" t="n">
        <f aca="false">AG10-AG31</f>
        <v>1380664.41257598</v>
      </c>
      <c r="AH32" s="94" t="n">
        <f aca="false">AH10-AH31</f>
        <v>1315810.94381373</v>
      </c>
      <c r="AI32" s="94" t="n">
        <f aca="false">AI10-AI31</f>
        <v>1676302.99665147</v>
      </c>
      <c r="AJ32" s="94" t="n">
        <f aca="false">AJ10-AJ31</f>
        <v>1380664.41257598</v>
      </c>
      <c r="AK32" s="94" t="n">
        <f aca="false">AK10-AK31</f>
        <v>1179676.93033824</v>
      </c>
      <c r="AL32" s="94" t="n">
        <f aca="false">AL10-AL31</f>
        <v>1431383.06461373</v>
      </c>
      <c r="AM32" s="94" t="n">
        <f aca="false">AM10-AM31</f>
        <v>1389900.15297598</v>
      </c>
      <c r="AN32" s="94" t="n">
        <f aca="false">AN10-AN31</f>
        <v>1179676.93033824</v>
      </c>
      <c r="AO32" s="94" t="n">
        <f aca="false">AO10-AO31</f>
        <v>1182485.59478726</v>
      </c>
      <c r="AP32" s="94" t="n">
        <f aca="false">AP10-AP31</f>
        <v>1288821.97518726</v>
      </c>
      <c r="AQ32" s="94" t="n">
        <f aca="false">AQ10-AQ31</f>
        <v>1309383.86786275</v>
      </c>
    </row>
    <row r="33" customFormat="false" ht="21" hidden="false" customHeight="true" outlineLevel="0" collapsed="false">
      <c r="C33" s="74" t="s">
        <v>786</v>
      </c>
      <c r="D33" s="113" t="n">
        <f aca="false">IF(D10=0,0,D32/D10)</f>
        <v>0.315084364194392</v>
      </c>
      <c r="E33" s="113" t="n">
        <f aca="false">IF(E10=0,0,E32/E10)</f>
        <v>0.408573773246409</v>
      </c>
      <c r="F33" s="113" t="n">
        <f aca="false">IF(F10=0,0,F32/F10)</f>
        <v>0.46111881519903</v>
      </c>
      <c r="G33" s="114"/>
      <c r="H33" s="113" t="n">
        <f aca="false">IF(H10=0,0,H32/H10)</f>
        <v>-0.128342088178008</v>
      </c>
      <c r="I33" s="113" t="n">
        <f aca="false">IF(I10=0,0,I32/I10)</f>
        <v>0.0573587588362192</v>
      </c>
      <c r="J33" s="113" t="n">
        <f aca="false">IF(J10=0,0,J32/J10)</f>
        <v>0.185318430467386</v>
      </c>
      <c r="K33" s="113" t="n">
        <f aca="false">IF(K10=0,0,K32/K10)</f>
        <v>0.398733436730185</v>
      </c>
      <c r="L33" s="113" t="n">
        <f aca="false">IF(L10=0,0,L32/L10)</f>
        <v>0.286077246251426</v>
      </c>
      <c r="M33" s="113" t="n">
        <f aca="false">IF(M10=0,0,M32/M10)</f>
        <v>0.281940249130876</v>
      </c>
      <c r="N33" s="113" t="n">
        <f aca="false">IF(N10=0,0,N32/N10)</f>
        <v>0.364659108868255</v>
      </c>
      <c r="O33" s="113" t="n">
        <f aca="false">IF(O10=0,0,O32/O10)</f>
        <v>0.362626021368424</v>
      </c>
      <c r="P33" s="113" t="n">
        <f aca="false">IF(P10=0,0,P32/P10)</f>
        <v>0.310291013996122</v>
      </c>
      <c r="Q33" s="113" t="n">
        <f aca="false">IF(Q10=0,0,Q32/Q10)</f>
        <v>0.301401203000218</v>
      </c>
      <c r="R33" s="113" t="n">
        <f aca="false">IF(R10=0,0,R32/R10)</f>
        <v>0.341034846158839</v>
      </c>
      <c r="S33" s="113" t="n">
        <f aca="false">IF(S10=0,0,S32/S10)</f>
        <v>0.365377639566759</v>
      </c>
      <c r="T33" s="113" t="n">
        <f aca="false">IF(T10=0,0,T32/T10)</f>
        <v>0.375005866465674</v>
      </c>
      <c r="U33" s="113" t="n">
        <f aca="false">IF(U10=0,0,U32/U10)</f>
        <v>0.42786898658465</v>
      </c>
      <c r="V33" s="113" t="n">
        <f aca="false">IF(V10=0,0,V32/V10)</f>
        <v>0.409948526041112</v>
      </c>
      <c r="W33" s="113" t="n">
        <f aca="false">IF(W10=0,0,W32/W10)</f>
        <v>0.488750060871551</v>
      </c>
      <c r="X33" s="113" t="n">
        <f aca="false">IF(X10=0,0,X32/X10)</f>
        <v>0.42786898658465</v>
      </c>
      <c r="Y33" s="113" t="n">
        <f aca="false">IF(Y10=0,0,Y32/Y10)</f>
        <v>0.375005866465674</v>
      </c>
      <c r="Z33" s="113" t="n">
        <f aca="false">IF(Z10=0,0,Z32/Z10)</f>
        <v>0.419086791522269</v>
      </c>
      <c r="AA33" s="113" t="n">
        <f aca="false">IF(AA10=0,0,AA32/AA10)</f>
        <v>0.410646618309003</v>
      </c>
      <c r="AB33" s="113" t="n">
        <f aca="false">IF(AB10=0,0,AB32/AB10)</f>
        <v>0.375005866465674</v>
      </c>
      <c r="AC33" s="113" t="n">
        <f aca="false">IF(AC10=0,0,AC32/AC10)</f>
        <v>0.362835806496889</v>
      </c>
      <c r="AD33" s="113" t="n">
        <f aca="false">IF(AD10=0,0,AD32/AD10)</f>
        <v>0.392304493985007</v>
      </c>
      <c r="AE33" s="113" t="n">
        <f aca="false">IF(AE10=0,0,AE32/AE10)</f>
        <v>0.414363580627979</v>
      </c>
      <c r="AF33" s="113" t="n">
        <f aca="false">IF(AF10=0,0,AF32/AF10)</f>
        <v>0.439213067691011</v>
      </c>
      <c r="AG33" s="113" t="n">
        <f aca="false">IF(AG10=0,0,AG32/AG10)</f>
        <v>0.475592543489171</v>
      </c>
      <c r="AH33" s="113" t="n">
        <f aca="false">IF(AH10=0,0,AH32/AH10)</f>
        <v>0.463254857522158</v>
      </c>
      <c r="AI33" s="113" t="n">
        <f aca="false">IF(AI10=0,0,AI32/AI10)</f>
        <v>0.519717276998042</v>
      </c>
      <c r="AJ33" s="113" t="n">
        <f aca="false">IF(AJ10=0,0,AJ32/AJ10)</f>
        <v>0.475592543489171</v>
      </c>
      <c r="AK33" s="113" t="n">
        <f aca="false">IF(AK10=0,0,AK32/AK10)</f>
        <v>0.439213067691011</v>
      </c>
      <c r="AL33" s="113" t="n">
        <f aca="false">IF(AL10=0,0,AL32/AL10)</f>
        <v>0.467126985694539</v>
      </c>
      <c r="AM33" s="113" t="n">
        <f aca="false">IF(AM10=0,0,AM32/AM10)</f>
        <v>0.460999123479242</v>
      </c>
      <c r="AN33" s="113" t="n">
        <f aca="false">IF(AN10=0,0,AN32/AN10)</f>
        <v>0.439213067691011</v>
      </c>
      <c r="AO33" s="113" t="n">
        <f aca="false">IF(AO10=0,0,AO32/AO10)</f>
        <v>0.427089501329491</v>
      </c>
      <c r="AP33" s="113" t="n">
        <f aca="false">IF(AP10=0,0,AP32/AP10)</f>
        <v>0.447408236594392</v>
      </c>
      <c r="AQ33" s="113" t="n">
        <f aca="false">IF(AQ10=0,0,AQ32/AQ10)</f>
        <v>0.46576621954771</v>
      </c>
    </row>
    <row r="34" customFormat="false" ht="21" hidden="false" customHeight="true" outlineLevel="0" collapsed="false">
      <c r="C34" s="74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</row>
    <row r="35" customFormat="false" ht="21" hidden="false" customHeight="true" outlineLevel="0" collapsed="false">
      <c r="C35" s="74" t="s">
        <v>787</v>
      </c>
      <c r="D35" s="109" t="n">
        <f aca="false">SUM(H35:S35)</f>
        <v>559753.712237583</v>
      </c>
      <c r="E35" s="109" t="n">
        <f aca="false">SUM(T35:AE35)</f>
        <v>832320</v>
      </c>
      <c r="F35" s="109" t="n">
        <f aca="false">SUM(AF35:AQ35)</f>
        <v>856800</v>
      </c>
      <c r="G35" s="79"/>
      <c r="H35" s="81" t="n">
        <f aca="false">SUMIFS('W Site Monthly'!$W$6:$W$365,'W Site Monthly'!$C$6:$C$365,H$6)</f>
        <v>3111.11111111111</v>
      </c>
      <c r="I35" s="81" t="n">
        <f aca="false">SUMIFS('W Site Monthly'!$W$6:$W$365,'W Site Monthly'!$C$6:$C$365,I$6)</f>
        <v>7317.20430107527</v>
      </c>
      <c r="J35" s="81" t="n">
        <f aca="false">SUMIFS('W Site Monthly'!$W$6:$W$365,'W Site Monthly'!$C$6:$C$365,J$6)</f>
        <v>14111.1111111111</v>
      </c>
      <c r="K35" s="81" t="n">
        <f aca="false">SUMIFS('W Site Monthly'!$W$6:$W$365,'W Site Monthly'!$C$6:$C$365,K$6)</f>
        <v>30500</v>
      </c>
      <c r="L35" s="81" t="n">
        <f aca="false">SUMIFS('W Site Monthly'!$W$6:$W$365,'W Site Monthly'!$C$6:$C$365,L$6)</f>
        <v>48000</v>
      </c>
      <c r="M35" s="81" t="n">
        <f aca="false">SUMIFS('W Site Monthly'!$W$6:$W$365,'W Site Monthly'!$C$6:$C$365,M$6)</f>
        <v>48714.2857142857</v>
      </c>
      <c r="N35" s="81" t="n">
        <f aca="false">SUMIFS('W Site Monthly'!$W$6:$W$365,'W Site Monthly'!$C$6:$C$365,N$6)</f>
        <v>68000</v>
      </c>
      <c r="O35" s="81" t="n">
        <f aca="false">SUMIFS('W Site Monthly'!$W$6:$W$365,'W Site Monthly'!$C$6:$C$365,O$6)</f>
        <v>68000</v>
      </c>
      <c r="P35" s="81" t="n">
        <f aca="false">SUMIFS('W Site Monthly'!$W$6:$W$365,'W Site Monthly'!$C$6:$C$365,P$6)</f>
        <v>68000</v>
      </c>
      <c r="Q35" s="81" t="n">
        <f aca="false">SUMIFS('W Site Monthly'!$W$6:$W$365,'W Site Monthly'!$C$6:$C$365,Q$6)</f>
        <v>68000</v>
      </c>
      <c r="R35" s="81" t="n">
        <f aca="false">SUMIFS('W Site Monthly'!$W$6:$W$365,'W Site Monthly'!$C$6:$C$365,R$6)</f>
        <v>68000</v>
      </c>
      <c r="S35" s="81" t="n">
        <f aca="false">SUMIFS('W Site Monthly'!$W$6:$W$365,'W Site Monthly'!$C$6:$C$365,S$6)</f>
        <v>68000</v>
      </c>
      <c r="T35" s="81" t="n">
        <f aca="false">SUMIFS('W Site Monthly'!$W$6:$W$365,'W Site Monthly'!$C$6:$C$365,T$6)</f>
        <v>69360</v>
      </c>
      <c r="U35" s="81" t="n">
        <f aca="false">SUMIFS('W Site Monthly'!$W$6:$W$365,'W Site Monthly'!$C$6:$C$365,U$6)</f>
        <v>69360</v>
      </c>
      <c r="V35" s="81" t="n">
        <f aca="false">SUMIFS('W Site Monthly'!$W$6:$W$365,'W Site Monthly'!$C$6:$C$365,V$6)</f>
        <v>69360</v>
      </c>
      <c r="W35" s="81" t="n">
        <f aca="false">SUMIFS('W Site Monthly'!$W$6:$W$365,'W Site Monthly'!$C$6:$C$365,W$6)</f>
        <v>69360</v>
      </c>
      <c r="X35" s="81" t="n">
        <f aca="false">SUMIFS('W Site Monthly'!$W$6:$W$365,'W Site Monthly'!$C$6:$C$365,X$6)</f>
        <v>69360</v>
      </c>
      <c r="Y35" s="81" t="n">
        <f aca="false">SUMIFS('W Site Monthly'!$W$6:$W$365,'W Site Monthly'!$C$6:$C$365,Y$6)</f>
        <v>69360</v>
      </c>
      <c r="Z35" s="81" t="n">
        <f aca="false">SUMIFS('W Site Monthly'!$W$6:$W$365,'W Site Monthly'!$C$6:$C$365,Z$6)</f>
        <v>69360</v>
      </c>
      <c r="AA35" s="81" t="n">
        <f aca="false">SUMIFS('W Site Monthly'!$W$6:$W$365,'W Site Monthly'!$C$6:$C$365,AA$6)</f>
        <v>69360</v>
      </c>
      <c r="AB35" s="81" t="n">
        <f aca="false">SUMIFS('W Site Monthly'!$W$6:$W$365,'W Site Monthly'!$C$6:$C$365,AB$6)</f>
        <v>69360</v>
      </c>
      <c r="AC35" s="81" t="n">
        <f aca="false">SUMIFS('W Site Monthly'!$W$6:$W$365,'W Site Monthly'!$C$6:$C$365,AC$6)</f>
        <v>69360</v>
      </c>
      <c r="AD35" s="81" t="n">
        <f aca="false">SUMIFS('W Site Monthly'!$W$6:$W$365,'W Site Monthly'!$C$6:$C$365,AD$6)</f>
        <v>69360</v>
      </c>
      <c r="AE35" s="81" t="n">
        <f aca="false">SUMIFS('W Site Monthly'!$W$6:$W$365,'W Site Monthly'!$C$6:$C$365,AE$6)</f>
        <v>69360</v>
      </c>
      <c r="AF35" s="81" t="n">
        <f aca="false">SUMIFS('W Site Monthly'!$W$6:$W$365,'W Site Monthly'!$C$6:$C$365,AF$6)</f>
        <v>71400</v>
      </c>
      <c r="AG35" s="81" t="n">
        <f aca="false">SUMIFS('W Site Monthly'!$W$6:$W$365,'W Site Monthly'!$C$6:$C$365,AG$6)</f>
        <v>71400</v>
      </c>
      <c r="AH35" s="81" t="n">
        <f aca="false">SUMIFS('W Site Monthly'!$W$6:$W$365,'W Site Monthly'!$C$6:$C$365,AH$6)</f>
        <v>71400</v>
      </c>
      <c r="AI35" s="81" t="n">
        <f aca="false">SUMIFS('W Site Monthly'!$W$6:$W$365,'W Site Monthly'!$C$6:$C$365,AI$6)</f>
        <v>71400</v>
      </c>
      <c r="AJ35" s="81" t="n">
        <f aca="false">SUMIFS('W Site Monthly'!$W$6:$W$365,'W Site Monthly'!$C$6:$C$365,AJ$6)</f>
        <v>71400</v>
      </c>
      <c r="AK35" s="81" t="n">
        <f aca="false">SUMIFS('W Site Monthly'!$W$6:$W$365,'W Site Monthly'!$C$6:$C$365,AK$6)</f>
        <v>71400</v>
      </c>
      <c r="AL35" s="81" t="n">
        <f aca="false">SUMIFS('W Site Monthly'!$W$6:$W$365,'W Site Monthly'!$C$6:$C$365,AL$6)</f>
        <v>71400</v>
      </c>
      <c r="AM35" s="81" t="n">
        <f aca="false">SUMIFS('W Site Monthly'!$W$6:$W$365,'W Site Monthly'!$C$6:$C$365,AM$6)</f>
        <v>71400</v>
      </c>
      <c r="AN35" s="81" t="n">
        <f aca="false">SUMIFS('W Site Monthly'!$W$6:$W$365,'W Site Monthly'!$C$6:$C$365,AN$6)</f>
        <v>71400</v>
      </c>
      <c r="AO35" s="81" t="n">
        <f aca="false">SUMIFS('W Site Monthly'!$W$6:$W$365,'W Site Monthly'!$C$6:$C$365,AO$6)</f>
        <v>71400</v>
      </c>
      <c r="AP35" s="81" t="n">
        <f aca="false">SUMIFS('W Site Monthly'!$W$6:$W$365,'W Site Monthly'!$C$6:$C$365,AP$6)</f>
        <v>71400</v>
      </c>
      <c r="AQ35" s="81" t="n">
        <f aca="false">SUMIFS('W Site Monthly'!$W$6:$W$365,'W Site Monthly'!$C$6:$C$365,AQ$6)</f>
        <v>71400</v>
      </c>
    </row>
    <row r="36" customFormat="false" ht="21" hidden="false" customHeight="true" outlineLevel="0" collapsed="false">
      <c r="C36" s="86" t="s">
        <v>788</v>
      </c>
      <c r="D36" s="94" t="n">
        <f aca="false">SUM(H36:S36)</f>
        <v>4065302.09838365</v>
      </c>
      <c r="E36" s="94" t="n">
        <f aca="false">SUM(T36:AE36)</f>
        <v>9402639.79843478</v>
      </c>
      <c r="F36" s="94" t="n">
        <f aca="false">SUM(AF36:AQ36)</f>
        <v>15037648.2120589</v>
      </c>
      <c r="G36" s="110"/>
      <c r="H36" s="94" t="n">
        <f aca="false">H32-H35</f>
        <v>-22440</v>
      </c>
      <c r="I36" s="94" t="n">
        <f aca="false">I32-I35</f>
        <v>23123.0812169975</v>
      </c>
      <c r="J36" s="94" t="n">
        <f aca="false">J32-J35</f>
        <v>102849.678606662</v>
      </c>
      <c r="K36" s="94" t="n">
        <f aca="false">K32-K35</f>
        <v>460653.411666667</v>
      </c>
      <c r="L36" s="94" t="n">
        <f aca="false">L32-L35</f>
        <v>324422.624790236</v>
      </c>
      <c r="M36" s="94" t="n">
        <f aca="false">M32-M35</f>
        <v>295344.672926882</v>
      </c>
      <c r="N36" s="94" t="n">
        <f aca="false">N32-N35</f>
        <v>562330.64870328</v>
      </c>
      <c r="O36" s="94" t="n">
        <f aca="false">O32-O35</f>
        <v>557907.903051106</v>
      </c>
      <c r="P36" s="94" t="n">
        <f aca="false">P32-P35</f>
        <v>378171.579138063</v>
      </c>
      <c r="Q36" s="94" t="n">
        <f aca="false">Q32-Q35</f>
        <v>393338.783485889</v>
      </c>
      <c r="R36" s="94" t="n">
        <f aca="false">R32-R35</f>
        <v>487977.783485889</v>
      </c>
      <c r="S36" s="94" t="n">
        <f aca="false">S32-S35</f>
        <v>501621.931311976</v>
      </c>
      <c r="T36" s="94" t="n">
        <f aca="false">T32-T35</f>
        <v>647479.749869565</v>
      </c>
      <c r="U36" s="94" t="n">
        <f aca="false">U32-U35</f>
        <v>835247.122363043</v>
      </c>
      <c r="V36" s="94" t="n">
        <f aca="false">V32-V35</f>
        <v>772221.144856522</v>
      </c>
      <c r="W36" s="94" t="n">
        <f aca="false">W32-W35</f>
        <v>1110464.52735</v>
      </c>
      <c r="X36" s="94" t="n">
        <f aca="false">X32-X35</f>
        <v>835247.122363043</v>
      </c>
      <c r="Y36" s="94" t="n">
        <f aca="false">Y32-Y35</f>
        <v>647479.749869565</v>
      </c>
      <c r="Z36" s="94" t="n">
        <f aca="false">Z32-Z35</f>
        <v>879489.824856522</v>
      </c>
      <c r="AA36" s="94" t="n">
        <f aca="false">AA32-AA35</f>
        <v>842198.462363044</v>
      </c>
      <c r="AB36" s="94" t="n">
        <f aca="false">AB32-AB35</f>
        <v>647479.749869565</v>
      </c>
      <c r="AC36" s="94" t="n">
        <f aca="false">AC32-AC35</f>
        <v>655741.649895652</v>
      </c>
      <c r="AD36" s="94" t="n">
        <f aca="false">AD32-AD35</f>
        <v>756058.989895652</v>
      </c>
      <c r="AE36" s="94" t="n">
        <f aca="false">AE32-AE35</f>
        <v>773531.704882609</v>
      </c>
      <c r="AF36" s="94" t="n">
        <f aca="false">AF32-AF35</f>
        <v>1108276.93033824</v>
      </c>
      <c r="AG36" s="94" t="n">
        <f aca="false">AG32-AG35</f>
        <v>1309264.41257598</v>
      </c>
      <c r="AH36" s="94" t="n">
        <f aca="false">AH32-AH35</f>
        <v>1244410.94381373</v>
      </c>
      <c r="AI36" s="94" t="n">
        <f aca="false">AI32-AI35</f>
        <v>1604902.99665147</v>
      </c>
      <c r="AJ36" s="94" t="n">
        <f aca="false">AJ32-AJ35</f>
        <v>1309264.41257598</v>
      </c>
      <c r="AK36" s="94" t="n">
        <f aca="false">AK32-AK35</f>
        <v>1108276.93033824</v>
      </c>
      <c r="AL36" s="94" t="n">
        <f aca="false">AL32-AL35</f>
        <v>1359983.06461373</v>
      </c>
      <c r="AM36" s="94" t="n">
        <f aca="false">AM32-AM35</f>
        <v>1318500.15297598</v>
      </c>
      <c r="AN36" s="94" t="n">
        <f aca="false">AN32-AN35</f>
        <v>1108276.93033824</v>
      </c>
      <c r="AO36" s="94" t="n">
        <f aca="false">AO32-AO35</f>
        <v>1111085.59478726</v>
      </c>
      <c r="AP36" s="94" t="n">
        <f aca="false">AP32-AP35</f>
        <v>1217421.97518726</v>
      </c>
      <c r="AQ36" s="94" t="n">
        <f aca="false">AQ32-AQ35</f>
        <v>1237983.86786275</v>
      </c>
    </row>
    <row r="37" customFormat="false" ht="21" hidden="false" customHeight="true" outlineLevel="0" collapsed="false">
      <c r="C37" s="74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</row>
    <row r="38" customFormat="false" ht="21" hidden="false" customHeight="true" outlineLevel="0" collapsed="false">
      <c r="C38" s="74" t="s">
        <v>789</v>
      </c>
      <c r="D38" s="109" t="n">
        <f aca="false">SUM(H38:S38)</f>
        <v>4080000</v>
      </c>
      <c r="E38" s="109" t="n">
        <f aca="false">SUM(T38:AE38)</f>
        <v>81600</v>
      </c>
      <c r="F38" s="109" t="n">
        <f aca="false">SUM(AF38:AQ38)</f>
        <v>122400</v>
      </c>
      <c r="G38" s="79"/>
      <c r="H38" s="81" t="n">
        <f aca="false">SUMIFS('W Site Monthly'!$V$6:$V$365,'W Site Monthly'!$C$6:$C$365,H$6)</f>
        <v>488000</v>
      </c>
      <c r="I38" s="81" t="n">
        <f aca="false">SUMIFS('W Site Monthly'!$V$6:$V$365,'W Site Monthly'!$C$6:$C$365,I$6)</f>
        <v>392000</v>
      </c>
      <c r="J38" s="81" t="n">
        <f aca="false">SUMIFS('W Site Monthly'!$V$6:$V$365,'W Site Monthly'!$C$6:$C$365,J$6)</f>
        <v>650000</v>
      </c>
      <c r="K38" s="81" t="n">
        <f aca="false">SUMIFS('W Site Monthly'!$V$6:$V$365,'W Site Monthly'!$C$6:$C$365,K$6)</f>
        <v>930000</v>
      </c>
      <c r="L38" s="81" t="n">
        <f aca="false">SUMIFS('W Site Monthly'!$V$6:$V$365,'W Site Monthly'!$C$6:$C$365,L$6)</f>
        <v>1140000</v>
      </c>
      <c r="M38" s="81" t="n">
        <f aca="false">SUMIFS('W Site Monthly'!$V$6:$V$365,'W Site Monthly'!$C$6:$C$365,M$6)</f>
        <v>480000</v>
      </c>
      <c r="N38" s="81" t="n">
        <f aca="false">SUMIFS('W Site Monthly'!$V$6:$V$365,'W Site Monthly'!$C$6:$C$365,N$6)</f>
        <v>0</v>
      </c>
      <c r="O38" s="81" t="n">
        <f aca="false">SUMIFS('W Site Monthly'!$V$6:$V$365,'W Site Monthly'!$C$6:$C$365,O$6)</f>
        <v>0</v>
      </c>
      <c r="P38" s="81" t="n">
        <f aca="false">SUMIFS('W Site Monthly'!$V$6:$V$365,'W Site Monthly'!$C$6:$C$365,P$6)</f>
        <v>0</v>
      </c>
      <c r="Q38" s="81" t="n">
        <f aca="false">SUMIFS('W Site Monthly'!$V$6:$V$365,'W Site Monthly'!$C$6:$C$365,Q$6)</f>
        <v>0</v>
      </c>
      <c r="R38" s="81" t="n">
        <f aca="false">SUMIFS('W Site Monthly'!$V$6:$V$365,'W Site Monthly'!$C$6:$C$365,R$6)</f>
        <v>0</v>
      </c>
      <c r="S38" s="81" t="n">
        <f aca="false">SUMIFS('W Site Monthly'!$V$6:$V$365,'W Site Monthly'!$C$6:$C$365,S$6)</f>
        <v>0</v>
      </c>
      <c r="T38" s="81" t="n">
        <f aca="false">SUMIFS('W Site Monthly'!$V$6:$V$365,'W Site Monthly'!$C$6:$C$365,T$6)</f>
        <v>81600</v>
      </c>
      <c r="U38" s="81" t="n">
        <f aca="false">SUMIFS('W Site Monthly'!$V$6:$V$365,'W Site Monthly'!$C$6:$C$365,U$6)</f>
        <v>0</v>
      </c>
      <c r="V38" s="81" t="n">
        <f aca="false">SUMIFS('W Site Monthly'!$V$6:$V$365,'W Site Monthly'!$C$6:$C$365,V$6)</f>
        <v>0</v>
      </c>
      <c r="W38" s="81" t="n">
        <f aca="false">SUMIFS('W Site Monthly'!$V$6:$V$365,'W Site Monthly'!$C$6:$C$365,W$6)</f>
        <v>0</v>
      </c>
      <c r="X38" s="81" t="n">
        <f aca="false">SUMIFS('W Site Monthly'!$V$6:$V$365,'W Site Monthly'!$C$6:$C$365,X$6)</f>
        <v>0</v>
      </c>
      <c r="Y38" s="81" t="n">
        <f aca="false">SUMIFS('W Site Monthly'!$V$6:$V$365,'W Site Monthly'!$C$6:$C$365,Y$6)</f>
        <v>0</v>
      </c>
      <c r="Z38" s="81" t="n">
        <f aca="false">SUMIFS('W Site Monthly'!$V$6:$V$365,'W Site Monthly'!$C$6:$C$365,Z$6)</f>
        <v>0</v>
      </c>
      <c r="AA38" s="81" t="n">
        <f aca="false">SUMIFS('W Site Monthly'!$V$6:$V$365,'W Site Monthly'!$C$6:$C$365,AA$6)</f>
        <v>0</v>
      </c>
      <c r="AB38" s="81" t="n">
        <f aca="false">SUMIFS('W Site Monthly'!$V$6:$V$365,'W Site Monthly'!$C$6:$C$365,AB$6)</f>
        <v>0</v>
      </c>
      <c r="AC38" s="81" t="n">
        <f aca="false">SUMIFS('W Site Monthly'!$V$6:$V$365,'W Site Monthly'!$C$6:$C$365,AC$6)</f>
        <v>0</v>
      </c>
      <c r="AD38" s="81" t="n">
        <f aca="false">SUMIFS('W Site Monthly'!$V$6:$V$365,'W Site Monthly'!$C$6:$C$365,AD$6)</f>
        <v>0</v>
      </c>
      <c r="AE38" s="81" t="n">
        <f aca="false">SUMIFS('W Site Monthly'!$V$6:$V$365,'W Site Monthly'!$C$6:$C$365,AE$6)</f>
        <v>0</v>
      </c>
      <c r="AF38" s="81" t="n">
        <f aca="false">SUMIFS('W Site Monthly'!$V$6:$V$365,'W Site Monthly'!$C$6:$C$365,AF$6)</f>
        <v>122400</v>
      </c>
      <c r="AG38" s="81" t="n">
        <f aca="false">SUMIFS('W Site Monthly'!$V$6:$V$365,'W Site Monthly'!$C$6:$C$365,AG$6)</f>
        <v>0</v>
      </c>
      <c r="AH38" s="81" t="n">
        <f aca="false">SUMIFS('W Site Monthly'!$V$6:$V$365,'W Site Monthly'!$C$6:$C$365,AH$6)</f>
        <v>0</v>
      </c>
      <c r="AI38" s="81" t="n">
        <f aca="false">SUMIFS('W Site Monthly'!$V$6:$V$365,'W Site Monthly'!$C$6:$C$365,AI$6)</f>
        <v>0</v>
      </c>
      <c r="AJ38" s="81" t="n">
        <f aca="false">SUMIFS('W Site Monthly'!$V$6:$V$365,'W Site Monthly'!$C$6:$C$365,AJ$6)</f>
        <v>0</v>
      </c>
      <c r="AK38" s="81" t="n">
        <f aca="false">SUMIFS('W Site Monthly'!$V$6:$V$365,'W Site Monthly'!$C$6:$C$365,AK$6)</f>
        <v>0</v>
      </c>
      <c r="AL38" s="81" t="n">
        <f aca="false">SUMIFS('W Site Monthly'!$V$6:$V$365,'W Site Monthly'!$C$6:$C$365,AL$6)</f>
        <v>0</v>
      </c>
      <c r="AM38" s="81" t="n">
        <f aca="false">SUMIFS('W Site Monthly'!$V$6:$V$365,'W Site Monthly'!$C$6:$C$365,AM$6)</f>
        <v>0</v>
      </c>
      <c r="AN38" s="81" t="n">
        <f aca="false">SUMIFS('W Site Monthly'!$V$6:$V$365,'W Site Monthly'!$C$6:$C$365,AN$6)</f>
        <v>0</v>
      </c>
      <c r="AO38" s="81" t="n">
        <f aca="false">SUMIFS('W Site Monthly'!$V$6:$V$365,'W Site Monthly'!$C$6:$C$365,AO$6)</f>
        <v>0</v>
      </c>
      <c r="AP38" s="81" t="n">
        <f aca="false">SUMIFS('W Site Monthly'!$V$6:$V$365,'W Site Monthly'!$C$6:$C$365,AP$6)</f>
        <v>0</v>
      </c>
      <c r="AQ38" s="81" t="n">
        <f aca="false">SUMIFS('W Site Monthly'!$V$6:$V$365,'W Site Monthly'!$C$6:$C$365,AQ$6)</f>
        <v>0</v>
      </c>
    </row>
    <row r="39" customFormat="false" ht="21" hidden="false" customHeight="true" outlineLevel="0" collapsed="false">
      <c r="C39" s="74" t="s">
        <v>790</v>
      </c>
      <c r="D39" s="109" t="n">
        <f aca="false">SUM(H39:S39)</f>
        <v>230000</v>
      </c>
      <c r="E39" s="109" t="n">
        <f aca="false">SUM(T39:AE39)</f>
        <v>0</v>
      </c>
      <c r="F39" s="109" t="n">
        <f aca="false">SUM(AF39:AQ39)</f>
        <v>0</v>
      </c>
      <c r="G39" s="79"/>
      <c r="H39" s="81" t="n">
        <f aca="false">SUMIFS('W Site Monthly'!$X$6:$X$365,'W Site Monthly'!$C$6:$C$365,H$6)</f>
        <v>40000</v>
      </c>
      <c r="I39" s="81" t="n">
        <f aca="false">SUMIFS('W Site Monthly'!$X$6:$X$365,'W Site Monthly'!$C$6:$C$365,I$6)</f>
        <v>44000</v>
      </c>
      <c r="J39" s="81" t="n">
        <f aca="false">SUMIFS('W Site Monthly'!$X$6:$X$365,'W Site Monthly'!$C$6:$C$365,J$6)</f>
        <v>60000</v>
      </c>
      <c r="K39" s="81" t="n">
        <f aca="false">SUMIFS('W Site Monthly'!$X$6:$X$365,'W Site Monthly'!$C$6:$C$365,K$6)</f>
        <v>86000</v>
      </c>
      <c r="L39" s="81" t="n">
        <f aca="false">SUMIFS('W Site Monthly'!$X$6:$X$365,'W Site Monthly'!$C$6:$C$365,L$6)</f>
        <v>0</v>
      </c>
      <c r="M39" s="81" t="n">
        <f aca="false">SUMIFS('W Site Monthly'!$X$6:$X$365,'W Site Monthly'!$C$6:$C$365,M$6)</f>
        <v>0</v>
      </c>
      <c r="N39" s="81" t="n">
        <f aca="false">SUMIFS('W Site Monthly'!$X$6:$X$365,'W Site Monthly'!$C$6:$C$365,N$6)</f>
        <v>0</v>
      </c>
      <c r="O39" s="81" t="n">
        <f aca="false">SUMIFS('W Site Monthly'!$X$6:$X$365,'W Site Monthly'!$C$6:$C$365,O$6)</f>
        <v>0</v>
      </c>
      <c r="P39" s="81" t="n">
        <f aca="false">SUMIFS('W Site Monthly'!$X$6:$X$365,'W Site Monthly'!$C$6:$C$365,P$6)</f>
        <v>0</v>
      </c>
      <c r="Q39" s="81" t="n">
        <f aca="false">SUMIFS('W Site Monthly'!$X$6:$X$365,'W Site Monthly'!$C$6:$C$365,Q$6)</f>
        <v>0</v>
      </c>
      <c r="R39" s="81" t="n">
        <f aca="false">SUMIFS('W Site Monthly'!$X$6:$X$365,'W Site Monthly'!$C$6:$C$365,R$6)</f>
        <v>0</v>
      </c>
      <c r="S39" s="81" t="n">
        <f aca="false">SUMIFS('W Site Monthly'!$X$6:$X$365,'W Site Monthly'!$C$6:$C$365,S$6)</f>
        <v>0</v>
      </c>
      <c r="T39" s="81" t="n">
        <f aca="false">SUMIFS('W Site Monthly'!$X$6:$X$365,'W Site Monthly'!$C$6:$C$365,T$6)</f>
        <v>0</v>
      </c>
      <c r="U39" s="81" t="n">
        <f aca="false">SUMIFS('W Site Monthly'!$X$6:$X$365,'W Site Monthly'!$C$6:$C$365,U$6)</f>
        <v>0</v>
      </c>
      <c r="V39" s="81" t="n">
        <f aca="false">SUMIFS('W Site Monthly'!$X$6:$X$365,'W Site Monthly'!$C$6:$C$365,V$6)</f>
        <v>0</v>
      </c>
      <c r="W39" s="81" t="n">
        <f aca="false">SUMIFS('W Site Monthly'!$X$6:$X$365,'W Site Monthly'!$C$6:$C$365,W$6)</f>
        <v>0</v>
      </c>
      <c r="X39" s="81" t="n">
        <f aca="false">SUMIFS('W Site Monthly'!$X$6:$X$365,'W Site Monthly'!$C$6:$C$365,X$6)</f>
        <v>0</v>
      </c>
      <c r="Y39" s="81" t="n">
        <f aca="false">SUMIFS('W Site Monthly'!$X$6:$X$365,'W Site Monthly'!$C$6:$C$365,Y$6)</f>
        <v>0</v>
      </c>
      <c r="Z39" s="81" t="n">
        <f aca="false">SUMIFS('W Site Monthly'!$X$6:$X$365,'W Site Monthly'!$C$6:$C$365,Z$6)</f>
        <v>0</v>
      </c>
      <c r="AA39" s="81" t="n">
        <f aca="false">SUMIFS('W Site Monthly'!$X$6:$X$365,'W Site Monthly'!$C$6:$C$365,AA$6)</f>
        <v>0</v>
      </c>
      <c r="AB39" s="81" t="n">
        <f aca="false">SUMIFS('W Site Monthly'!$X$6:$X$365,'W Site Monthly'!$C$6:$C$365,AB$6)</f>
        <v>0</v>
      </c>
      <c r="AC39" s="81" t="n">
        <f aca="false">SUMIFS('W Site Monthly'!$X$6:$X$365,'W Site Monthly'!$C$6:$C$365,AC$6)</f>
        <v>0</v>
      </c>
      <c r="AD39" s="81" t="n">
        <f aca="false">SUMIFS('W Site Monthly'!$X$6:$X$365,'W Site Monthly'!$C$6:$C$365,AD$6)</f>
        <v>0</v>
      </c>
      <c r="AE39" s="81" t="n">
        <f aca="false">SUMIFS('W Site Monthly'!$X$6:$X$365,'W Site Monthly'!$C$6:$C$365,AE$6)</f>
        <v>0</v>
      </c>
      <c r="AF39" s="81" t="n">
        <f aca="false">SUMIFS('W Site Monthly'!$X$6:$X$365,'W Site Monthly'!$C$6:$C$365,AF$6)</f>
        <v>0</v>
      </c>
      <c r="AG39" s="81" t="n">
        <f aca="false">SUMIFS('W Site Monthly'!$X$6:$X$365,'W Site Monthly'!$C$6:$C$365,AG$6)</f>
        <v>0</v>
      </c>
      <c r="AH39" s="81" t="n">
        <f aca="false">SUMIFS('W Site Monthly'!$X$6:$X$365,'W Site Monthly'!$C$6:$C$365,AH$6)</f>
        <v>0</v>
      </c>
      <c r="AI39" s="81" t="n">
        <f aca="false">SUMIFS('W Site Monthly'!$X$6:$X$365,'W Site Monthly'!$C$6:$C$365,AI$6)</f>
        <v>0</v>
      </c>
      <c r="AJ39" s="81" t="n">
        <f aca="false">SUMIFS('W Site Monthly'!$X$6:$X$365,'W Site Monthly'!$C$6:$C$365,AJ$6)</f>
        <v>0</v>
      </c>
      <c r="AK39" s="81" t="n">
        <f aca="false">SUMIFS('W Site Monthly'!$X$6:$X$365,'W Site Monthly'!$C$6:$C$365,AK$6)</f>
        <v>0</v>
      </c>
      <c r="AL39" s="81" t="n">
        <f aca="false">SUMIFS('W Site Monthly'!$X$6:$X$365,'W Site Monthly'!$C$6:$C$365,AL$6)</f>
        <v>0</v>
      </c>
      <c r="AM39" s="81" t="n">
        <f aca="false">SUMIFS('W Site Monthly'!$X$6:$X$365,'W Site Monthly'!$C$6:$C$365,AM$6)</f>
        <v>0</v>
      </c>
      <c r="AN39" s="81" t="n">
        <f aca="false">SUMIFS('W Site Monthly'!$X$6:$X$365,'W Site Monthly'!$C$6:$C$365,AN$6)</f>
        <v>0</v>
      </c>
      <c r="AO39" s="81" t="n">
        <f aca="false">SUMIFS('W Site Monthly'!$X$6:$X$365,'W Site Monthly'!$C$6:$C$365,AO$6)</f>
        <v>0</v>
      </c>
      <c r="AP39" s="81" t="n">
        <f aca="false">SUMIFS('W Site Monthly'!$X$6:$X$365,'W Site Monthly'!$C$6:$C$365,AP$6)</f>
        <v>0</v>
      </c>
      <c r="AQ39" s="81" t="n">
        <f aca="false">SUMIFS('W Site Monthly'!$X$6:$X$365,'W Site Monthly'!$C$6:$C$365,AQ$6)</f>
        <v>0</v>
      </c>
    </row>
    <row r="40" customFormat="false" ht="21" hidden="false" customHeight="true" outlineLevel="0" collapsed="false">
      <c r="C40" s="74" t="s">
        <v>791</v>
      </c>
      <c r="D40" s="109" t="n">
        <f aca="false">SUM(H40:S40)</f>
        <v>172525.606307297</v>
      </c>
      <c r="E40" s="109" t="n">
        <f aca="false">SUM(T40:AE40)</f>
        <v>261095.426940639</v>
      </c>
      <c r="F40" s="109" t="n">
        <f aca="false">SUM(AF40:AQ40)</f>
        <v>280740.74109589</v>
      </c>
      <c r="G40" s="79"/>
      <c r="H40" s="81" t="n">
        <f aca="false">SUMIFS('W Site Monthly'!$H$6:$H$365,'W Site Monthly'!$C$6:$C$365,H$6)</f>
        <v>1562.66666666667</v>
      </c>
      <c r="I40" s="81" t="n">
        <f aca="false">SUMIFS('W Site Monthly'!$H$6:$H$365,'W Site Monthly'!$C$6:$C$365,I$6)</f>
        <v>5390.34838709677</v>
      </c>
      <c r="J40" s="81" t="n">
        <f aca="false">SUMIFS('W Site Monthly'!$H$6:$H$365,'W Site Monthly'!$C$6:$C$365,J$6)</f>
        <v>6753.17777777778</v>
      </c>
      <c r="K40" s="81" t="n">
        <f aca="false">SUMIFS('W Site Monthly'!$H$6:$H$365,'W Site Monthly'!$C$6:$C$365,K$6)</f>
        <v>13941.7233637747</v>
      </c>
      <c r="L40" s="81" t="n">
        <f aca="false">SUMIFS('W Site Monthly'!$H$6:$H$365,'W Site Monthly'!$C$6:$C$365,L$6)</f>
        <v>14311.8185502283</v>
      </c>
      <c r="M40" s="81" t="n">
        <f aca="false">SUMIFS('W Site Monthly'!$H$6:$H$365,'W Site Monthly'!$C$6:$C$365,M$6)</f>
        <v>13438.6471515547</v>
      </c>
      <c r="N40" s="81" t="n">
        <f aca="false">SUMIFS('W Site Monthly'!$H$6:$H$365,'W Site Monthly'!$C$6:$C$365,N$6)</f>
        <v>21583.6189117199</v>
      </c>
      <c r="O40" s="81" t="n">
        <f aca="false">SUMIFS('W Site Monthly'!$H$6:$H$365,'W Site Monthly'!$C$6:$C$365,O$6)</f>
        <v>21687.9089611872</v>
      </c>
      <c r="P40" s="81" t="n">
        <f aca="false">SUMIFS('W Site Monthly'!$H$6:$H$365,'W Site Monthly'!$C$6:$C$365,P$6)</f>
        <v>18004.1990106545</v>
      </c>
      <c r="Q40" s="81" t="n">
        <f aca="false">SUMIFS('W Site Monthly'!$H$6:$H$365,'W Site Monthly'!$C$6:$C$365,Q$6)</f>
        <v>17919.3592085236</v>
      </c>
      <c r="R40" s="81" t="n">
        <f aca="false">SUMIFS('W Site Monthly'!$H$6:$H$365,'W Site Monthly'!$C$6:$C$365,R$6)</f>
        <v>19091.3592085236</v>
      </c>
      <c r="S40" s="81" t="n">
        <f aca="false">SUMIFS('W Site Monthly'!$H$6:$H$365,'W Site Monthly'!$C$6:$C$365,S$6)</f>
        <v>18840.779109589</v>
      </c>
      <c r="T40" s="81" t="n">
        <f aca="false">SUMIFS('W Site Monthly'!$H$6:$H$365,'W Site Monthly'!$C$6:$C$365,T$6)</f>
        <v>19687.4189117199</v>
      </c>
      <c r="U40" s="81" t="n">
        <f aca="false">SUMIFS('W Site Monthly'!$H$6:$H$365,'W Site Monthly'!$C$6:$C$365,U$6)</f>
        <v>22379.9798573059</v>
      </c>
      <c r="V40" s="81" t="n">
        <f aca="false">SUMIFS('W Site Monthly'!$H$6:$H$365,'W Site Monthly'!$C$6:$C$365,V$6)</f>
        <v>21966.7408028919</v>
      </c>
      <c r="W40" s="81" t="n">
        <f aca="false">SUMIFS('W Site Monthly'!$H$6:$H$365,'W Site Monthly'!$C$6:$C$365,W$6)</f>
        <v>26522.7817484779</v>
      </c>
      <c r="X40" s="81" t="n">
        <f aca="false">SUMIFS('W Site Monthly'!$H$6:$H$365,'W Site Monthly'!$C$6:$C$365,X$6)</f>
        <v>22379.9798573059</v>
      </c>
      <c r="Y40" s="81" t="n">
        <f aca="false">SUMIFS('W Site Monthly'!$H$6:$H$365,'W Site Monthly'!$C$6:$C$365,Y$6)</f>
        <v>19687.4189117199</v>
      </c>
      <c r="Z40" s="81" t="n">
        <f aca="false">SUMIFS('W Site Monthly'!$H$6:$H$365,'W Site Monthly'!$C$6:$C$365,Z$6)</f>
        <v>24451.3808028919</v>
      </c>
      <c r="AA40" s="81" t="n">
        <f aca="false">SUMIFS('W Site Monthly'!$H$6:$H$365,'W Site Monthly'!$C$6:$C$365,AA$6)</f>
        <v>23622.2998573059</v>
      </c>
      <c r="AB40" s="81" t="n">
        <f aca="false">SUMIFS('W Site Monthly'!$H$6:$H$365,'W Site Monthly'!$C$6:$C$365,AB$6)</f>
        <v>19687.4189117199</v>
      </c>
      <c r="AC40" s="81" t="n">
        <f aca="false">SUMIFS('W Site Monthly'!$H$6:$H$365,'W Site Monthly'!$C$6:$C$365,AC$6)</f>
        <v>19476.895129376</v>
      </c>
      <c r="AD40" s="81" t="n">
        <f aca="false">SUMIFS('W Site Monthly'!$H$6:$H$365,'W Site Monthly'!$C$6:$C$365,AD$6)</f>
        <v>20719.215129376</v>
      </c>
      <c r="AE40" s="81" t="n">
        <f aca="false">SUMIFS('W Site Monthly'!$H$6:$H$365,'W Site Monthly'!$C$6:$C$365,AE$6)</f>
        <v>20513.897020548</v>
      </c>
      <c r="AF40" s="81" t="n">
        <f aca="false">SUMIFS('W Site Monthly'!$H$6:$H$365,'W Site Monthly'!$C$6:$C$365,AF$6)</f>
        <v>21200.2964246575</v>
      </c>
      <c r="AG40" s="81" t="n">
        <f aca="false">SUMIFS('W Site Monthly'!$H$6:$H$365,'W Site Monthly'!$C$6:$C$365,AG$6)</f>
        <v>24070.9926458904</v>
      </c>
      <c r="AH40" s="81" t="n">
        <f aca="false">SUMIFS('W Site Monthly'!$H$6:$H$365,'W Site Monthly'!$C$6:$C$365,AH$6)</f>
        <v>23649.5408671233</v>
      </c>
      <c r="AI40" s="81" t="n">
        <f aca="false">SUMIFS('W Site Monthly'!$H$6:$H$365,'W Site Monthly'!$C$6:$C$365,AI$6)</f>
        <v>28495.5258883562</v>
      </c>
      <c r="AJ40" s="81" t="n">
        <f aca="false">SUMIFS('W Site Monthly'!$H$6:$H$365,'W Site Monthly'!$C$6:$C$365,AJ$6)</f>
        <v>24070.9926458904</v>
      </c>
      <c r="AK40" s="81" t="n">
        <f aca="false">SUMIFS('W Site Monthly'!$H$6:$H$365,'W Site Monthly'!$C$6:$C$365,AK$6)</f>
        <v>21200.2964246575</v>
      </c>
      <c r="AL40" s="81" t="n">
        <f aca="false">SUMIFS('W Site Monthly'!$H$6:$H$365,'W Site Monthly'!$C$6:$C$365,AL$6)</f>
        <v>26283.2592671233</v>
      </c>
      <c r="AM40" s="81" t="n">
        <f aca="false">SUMIFS('W Site Monthly'!$H$6:$H$365,'W Site Monthly'!$C$6:$C$365,AM$6)</f>
        <v>25387.8518458904</v>
      </c>
      <c r="AN40" s="81" t="n">
        <f aca="false">SUMIFS('W Site Monthly'!$H$6:$H$365,'W Site Monthly'!$C$6:$C$365,AN$6)</f>
        <v>21200.2964246575</v>
      </c>
      <c r="AO40" s="81" t="n">
        <f aca="false">SUMIFS('W Site Monthly'!$H$6:$H$365,'W Site Monthly'!$C$6:$C$365,AO$6)</f>
        <v>20910.814739726</v>
      </c>
      <c r="AP40" s="81" t="n">
        <f aca="false">SUMIFS('W Site Monthly'!$H$6:$H$365,'W Site Monthly'!$C$6:$C$365,AP$6)</f>
        <v>22227.673939726</v>
      </c>
      <c r="AQ40" s="81" t="n">
        <f aca="false">SUMIFS('W Site Monthly'!$H$6:$H$365,'W Site Monthly'!$C$6:$C$365,AQ$6)</f>
        <v>22043.1999821918</v>
      </c>
    </row>
    <row r="41" customFormat="false" ht="21" hidden="false" customHeight="true" outlineLevel="0" collapsed="false">
      <c r="C41" s="74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</row>
    <row r="42" customFormat="false" ht="21" hidden="false" customHeight="true" outlineLevel="0" collapsed="false">
      <c r="C42" s="86" t="s">
        <v>792</v>
      </c>
      <c r="D42" s="94" t="n">
        <f aca="false">SUM(H42:S42)</f>
        <v>274785</v>
      </c>
      <c r="E42" s="94" t="n">
        <f aca="false">SUM(T42:AE42)</f>
        <v>1511920</v>
      </c>
      <c r="F42" s="94" t="n">
        <f aca="false">SUM(AF42:AQ42)</f>
        <v>3905636.4</v>
      </c>
      <c r="G42" s="110"/>
      <c r="H42" s="115" t="n">
        <f aca="false">'W TLI JV'!H14</f>
        <v>0</v>
      </c>
      <c r="I42" s="115" t="n">
        <f aca="false">'W TLI JV'!I14</f>
        <v>-77889.6052631579</v>
      </c>
      <c r="J42" s="115" t="n">
        <f aca="false">'W TLI JV'!J14</f>
        <v>14390.7894736842</v>
      </c>
      <c r="K42" s="115" t="n">
        <f aca="false">'W TLI JV'!K14</f>
        <v>26671.1842105263</v>
      </c>
      <c r="L42" s="115" t="n">
        <f aca="false">'W TLI JV'!L14</f>
        <v>38951.5789473684</v>
      </c>
      <c r="M42" s="115" t="n">
        <f aca="false">'W TLI JV'!M14</f>
        <v>38951.5789473684</v>
      </c>
      <c r="N42" s="115" t="n">
        <f aca="false">'W TLI JV'!N14</f>
        <v>38951.5789473684</v>
      </c>
      <c r="O42" s="115" t="n">
        <f aca="false">'W TLI JV'!O14</f>
        <v>38951.5789473684</v>
      </c>
      <c r="P42" s="115" t="n">
        <f aca="false">'W TLI JV'!P14</f>
        <v>38951.5789473684</v>
      </c>
      <c r="Q42" s="115" t="n">
        <f aca="false">'W TLI JV'!Q14</f>
        <v>38951.5789473684</v>
      </c>
      <c r="R42" s="115" t="n">
        <f aca="false">'W TLI JV'!R14</f>
        <v>38951.5789473684</v>
      </c>
      <c r="S42" s="115" t="n">
        <f aca="false">'W TLI JV'!S14</f>
        <v>38951.5789473684</v>
      </c>
      <c r="T42" s="115" t="n">
        <f aca="false">'W TLI JV'!T14</f>
        <v>125993.333333333</v>
      </c>
      <c r="U42" s="115" t="n">
        <f aca="false">'W TLI JV'!U14</f>
        <v>125993.333333333</v>
      </c>
      <c r="V42" s="115" t="n">
        <f aca="false">'W TLI JV'!V14</f>
        <v>125993.333333333</v>
      </c>
      <c r="W42" s="115" t="n">
        <f aca="false">'W TLI JV'!W14</f>
        <v>125993.333333333</v>
      </c>
      <c r="X42" s="115" t="n">
        <f aca="false">'W TLI JV'!X14</f>
        <v>125993.333333333</v>
      </c>
      <c r="Y42" s="115" t="n">
        <f aca="false">'W TLI JV'!Y14</f>
        <v>125993.333333333</v>
      </c>
      <c r="Z42" s="115" t="n">
        <f aca="false">'W TLI JV'!Z14</f>
        <v>125993.333333333</v>
      </c>
      <c r="AA42" s="115" t="n">
        <f aca="false">'W TLI JV'!AA14</f>
        <v>125993.333333333</v>
      </c>
      <c r="AB42" s="115" t="n">
        <f aca="false">'W TLI JV'!AB14</f>
        <v>125993.333333333</v>
      </c>
      <c r="AC42" s="115" t="n">
        <f aca="false">'W TLI JV'!AC14</f>
        <v>125993.333333333</v>
      </c>
      <c r="AD42" s="115" t="n">
        <f aca="false">'W TLI JV'!AD14</f>
        <v>125993.333333333</v>
      </c>
      <c r="AE42" s="115" t="n">
        <f aca="false">'W TLI JV'!AE14</f>
        <v>125993.333333333</v>
      </c>
      <c r="AF42" s="115" t="n">
        <f aca="false">'W TLI JV'!AF14</f>
        <v>325469.7</v>
      </c>
      <c r="AG42" s="115" t="n">
        <f aca="false">'W TLI JV'!AG14</f>
        <v>325469.7</v>
      </c>
      <c r="AH42" s="115" t="n">
        <f aca="false">'W TLI JV'!AH14</f>
        <v>325469.7</v>
      </c>
      <c r="AI42" s="115" t="n">
        <f aca="false">'W TLI JV'!AI14</f>
        <v>325469.7</v>
      </c>
      <c r="AJ42" s="115" t="n">
        <f aca="false">'W TLI JV'!AJ14</f>
        <v>325469.7</v>
      </c>
      <c r="AK42" s="115" t="n">
        <f aca="false">'W TLI JV'!AK14</f>
        <v>325469.7</v>
      </c>
      <c r="AL42" s="115" t="n">
        <f aca="false">'W TLI JV'!AL14</f>
        <v>325469.7</v>
      </c>
      <c r="AM42" s="115" t="n">
        <f aca="false">'W TLI JV'!AM14</f>
        <v>325469.7</v>
      </c>
      <c r="AN42" s="115" t="n">
        <f aca="false">'W TLI JV'!AN14</f>
        <v>325469.7</v>
      </c>
      <c r="AO42" s="115" t="n">
        <f aca="false">'W TLI JV'!AO14</f>
        <v>325469.7</v>
      </c>
      <c r="AP42" s="115" t="n">
        <f aca="false">'W TLI JV'!AP14</f>
        <v>325469.7</v>
      </c>
      <c r="AQ42" s="115" t="n">
        <f aca="false">'W TLI JV'!AQ14</f>
        <v>325469.7</v>
      </c>
    </row>
    <row r="43" customFormat="false" ht="21" hidden="false" customHeight="true" outlineLevel="0" collapsed="false">
      <c r="C43" s="74" t="s">
        <v>793</v>
      </c>
      <c r="D43" s="109" t="n">
        <f aca="false">SUM(H43:S43)</f>
        <v>4617641.92053697</v>
      </c>
      <c r="E43" s="109" t="n">
        <f aca="false">SUM(T43:AE43)</f>
        <v>9242489.78782609</v>
      </c>
      <c r="F43" s="109" t="n">
        <f aca="false">SUM(AF43:AQ43)</f>
        <v>12744628.4863777</v>
      </c>
      <c r="G43" s="79"/>
      <c r="H43" s="112" t="n">
        <f aca="false">SUM('W Fees &amp; KPI'!O6:P6)</f>
        <v>0</v>
      </c>
      <c r="I43" s="112" t="n">
        <f aca="false">SUM('W Fees &amp; KPI'!O7:P7)</f>
        <v>116085.861487168</v>
      </c>
      <c r="J43" s="112" t="n">
        <f aca="false">SUM('W Fees &amp; KPI'!O8:P8)</f>
        <v>106190.900533944</v>
      </c>
      <c r="K43" s="112" t="n">
        <f aca="false">SUM('W Fees &amp; KPI'!O9:P9)</f>
        <v>490002.275438597</v>
      </c>
      <c r="L43" s="112" t="n">
        <f aca="false">SUM('W Fees &amp; KPI'!O10:P10)</f>
        <v>353111.2532418</v>
      </c>
      <c r="M43" s="112" t="n">
        <f aca="false">SUM('W Fees &amp; KPI'!O11:P11)</f>
        <v>323254.76255857</v>
      </c>
      <c r="N43" s="112" t="n">
        <f aca="false">SUM('W Fees &amp; KPI'!O12:P12)</f>
        <v>624593.383676583</v>
      </c>
      <c r="O43" s="112" t="n">
        <f aca="false">SUM('W Fees &amp; KPI'!O13:P13)</f>
        <v>619937.861937453</v>
      </c>
      <c r="P43" s="112" t="n">
        <f aca="false">SUM('W Fees &amp; KPI'!O14:P14)</f>
        <v>430741.73150267</v>
      </c>
      <c r="Q43" s="112" t="n">
        <f aca="false">SUM('W Fees &amp; KPI'!O15:P15)</f>
        <v>446707.209763539</v>
      </c>
      <c r="R43" s="112" t="n">
        <f aca="false">SUM('W Fees &amp; KPI'!O16:P16)</f>
        <v>546327.20976354</v>
      </c>
      <c r="S43" s="112" t="n">
        <f aca="false">SUM('W Fees &amp; KPI'!O17:P17)</f>
        <v>560689.470633105</v>
      </c>
      <c r="T43" s="112" t="n">
        <f aca="false">SUM('W Fees &amp; KPI'!O18:P18)</f>
        <v>626972.148985507</v>
      </c>
      <c r="U43" s="112" t="n">
        <f aca="false">SUM('W Fees &amp; KPI'!O19:P19)</f>
        <v>824622.014768116</v>
      </c>
      <c r="V43" s="112" t="n">
        <f aca="false">SUM('W Fees &amp; KPI'!O20:P20)</f>
        <v>758278.880550725</v>
      </c>
      <c r="W43" s="112" t="n">
        <f aca="false">SUM('W Fees &amp; KPI'!O21:P21)</f>
        <v>1114324.54633333</v>
      </c>
      <c r="X43" s="112" t="n">
        <f aca="false">SUM('W Fees &amp; KPI'!O22:P22)</f>
        <v>824622.014768116</v>
      </c>
      <c r="Y43" s="112" t="n">
        <f aca="false">SUM('W Fees &amp; KPI'!O23:P23)</f>
        <v>626972.148985507</v>
      </c>
      <c r="Z43" s="112" t="n">
        <f aca="false">SUM('W Fees &amp; KPI'!O24:P24)</f>
        <v>871193.280550725</v>
      </c>
      <c r="AA43" s="112" t="n">
        <f aca="false">SUM('W Fees &amp; KPI'!O25:P25)</f>
        <v>831939.214768116</v>
      </c>
      <c r="AB43" s="112" t="n">
        <f aca="false">SUM('W Fees &amp; KPI'!O26:P26)</f>
        <v>626972.148985507</v>
      </c>
      <c r="AC43" s="112" t="n">
        <f aca="false">SUM('W Fees &amp; KPI'!O27:P27)</f>
        <v>635668.885855073</v>
      </c>
      <c r="AD43" s="112" t="n">
        <f aca="false">SUM('W Fees &amp; KPI'!O28:P28)</f>
        <v>741266.085855073</v>
      </c>
      <c r="AE43" s="112" t="n">
        <f aca="false">SUM('W Fees &amp; KPI'!O29:P29)</f>
        <v>759658.41742029</v>
      </c>
      <c r="AF43" s="112" t="n">
        <f aca="false">SUM('W Fees &amp; KPI'!O30:P30)</f>
        <v>909567.720531478</v>
      </c>
      <c r="AG43" s="112" t="n">
        <f aca="false">SUM('W Fees &amp; KPI'!O31:P31)</f>
        <v>1121133.49130805</v>
      </c>
      <c r="AH43" s="112" t="n">
        <f aca="false">SUM('W Fees &amp; KPI'!O32:P32)</f>
        <v>1052866.68208463</v>
      </c>
      <c r="AI43" s="112" t="n">
        <f aca="false">SUM('W Fees &amp; KPI'!O33:P33)</f>
        <v>1432332.0008612</v>
      </c>
      <c r="AJ43" s="112" t="n">
        <f aca="false">SUM('W Fees &amp; KPI'!O34:P34)</f>
        <v>1121133.49130805</v>
      </c>
      <c r="AK43" s="112" t="n">
        <f aca="false">SUM('W Fees &amp; KPI'!O35:P35)</f>
        <v>909567.720531478</v>
      </c>
      <c r="AL43" s="112" t="n">
        <f aca="false">SUM('W Fees &amp; KPI'!O36:P36)</f>
        <v>1174521.54608463</v>
      </c>
      <c r="AM43" s="112" t="n">
        <f aca="false">SUM('W Fees &amp; KPI'!O37:P37)</f>
        <v>1130855.32330805</v>
      </c>
      <c r="AN43" s="112" t="n">
        <f aca="false">SUM('W Fees &amp; KPI'!O38:P38)</f>
        <v>909567.720531478</v>
      </c>
      <c r="AO43" s="112" t="n">
        <f aca="false">SUM('W Fees &amp; KPI'!O39:P39)</f>
        <v>912524.209425183</v>
      </c>
      <c r="AP43" s="112" t="n">
        <f aca="false">SUM('W Fees &amp; KPI'!O40:P40)</f>
        <v>1024457.24142518</v>
      </c>
      <c r="AQ43" s="112" t="n">
        <f aca="false">SUM('W Fees &amp; KPI'!O41:P41)</f>
        <v>1046101.33897833</v>
      </c>
    </row>
    <row r="44" customFormat="false" ht="21" hidden="false" customHeight="true" outlineLevel="0" collapsed="false">
      <c r="C44" s="86" t="s">
        <v>794</v>
      </c>
      <c r="D44" s="94" t="n">
        <f aca="false">SUM(H44:S44)</f>
        <v>4369599.69951012</v>
      </c>
      <c r="E44" s="94" t="n">
        <f aca="false">SUM(T44:AE44)</f>
        <v>8723039.79843479</v>
      </c>
      <c r="F44" s="94" t="n">
        <f aca="false">SUM(AF44:AQ44)</f>
        <v>11988811.8120589</v>
      </c>
      <c r="G44" s="110"/>
      <c r="H44" s="115" t="n">
        <f aca="false">H43-H30</f>
        <v>0</v>
      </c>
      <c r="I44" s="115" t="n">
        <f aca="false">I43-I30</f>
        <v>108329.890781231</v>
      </c>
      <c r="J44" s="115" t="n">
        <f aca="false">J43-J30</f>
        <v>102570.000244089</v>
      </c>
      <c r="K44" s="115" t="n">
        <f aca="false">K43-K30</f>
        <v>464482.22745614</v>
      </c>
      <c r="L44" s="115" t="n">
        <f aca="false">L43-L30</f>
        <v>333471.045842868</v>
      </c>
      <c r="M44" s="115" t="n">
        <f aca="false">M43-M30</f>
        <v>305107.3796938</v>
      </c>
      <c r="N44" s="115" t="n">
        <f aca="false">N43-N30</f>
        <v>591379.069755912</v>
      </c>
      <c r="O44" s="115" t="n">
        <f aca="false">O43-O30</f>
        <v>586956.324103738</v>
      </c>
      <c r="P44" s="115" t="n">
        <f aca="false">P43-P30</f>
        <v>407220.000190694</v>
      </c>
      <c r="Q44" s="115" t="n">
        <f aca="false">Q43-Q30</f>
        <v>422387.20453852</v>
      </c>
      <c r="R44" s="115" t="n">
        <f aca="false">R43-R30</f>
        <v>517026.20453852</v>
      </c>
      <c r="S44" s="115" t="n">
        <f aca="false">S43-S30</f>
        <v>530670.352364607</v>
      </c>
      <c r="T44" s="115" t="n">
        <f aca="false">T43-T30</f>
        <v>590846.416536232</v>
      </c>
      <c r="U44" s="115" t="n">
        <f aca="false">U43-U30</f>
        <v>778613.78902971</v>
      </c>
      <c r="V44" s="115" t="n">
        <f aca="false">V43-V30</f>
        <v>715587.811523189</v>
      </c>
      <c r="W44" s="115" t="n">
        <f aca="false">W43-W30</f>
        <v>1053831.19401667</v>
      </c>
      <c r="X44" s="115" t="n">
        <f aca="false">X43-X30</f>
        <v>778613.78902971</v>
      </c>
      <c r="Y44" s="115" t="n">
        <f aca="false">Y43-Y30</f>
        <v>590846.416536232</v>
      </c>
      <c r="Z44" s="115" t="n">
        <f aca="false">Z43-Z30</f>
        <v>822856.491523189</v>
      </c>
      <c r="AA44" s="115" t="n">
        <f aca="false">AA43-AA30</f>
        <v>785565.12902971</v>
      </c>
      <c r="AB44" s="115" t="n">
        <f aca="false">AB43-AB30</f>
        <v>590846.416536232</v>
      </c>
      <c r="AC44" s="115" t="n">
        <f aca="false">AC43-AC30</f>
        <v>599108.316562319</v>
      </c>
      <c r="AD44" s="115" t="n">
        <f aca="false">AD43-AD30</f>
        <v>699425.656562319</v>
      </c>
      <c r="AE44" s="115" t="n">
        <f aca="false">AE43-AE30</f>
        <v>716898.371549276</v>
      </c>
      <c r="AF44" s="115" t="n">
        <f aca="false">AF43-AF30</f>
        <v>854207.230338238</v>
      </c>
      <c r="AG44" s="115" t="n">
        <f aca="false">AG43-AG30</f>
        <v>1055194.71257598</v>
      </c>
      <c r="AH44" s="115" t="n">
        <f aca="false">AH43-AH30</f>
        <v>990341.243813728</v>
      </c>
      <c r="AI44" s="115" t="n">
        <f aca="false">AI43-AI30</f>
        <v>1350833.29665147</v>
      </c>
      <c r="AJ44" s="115" t="n">
        <f aca="false">AJ43-AJ30</f>
        <v>1055194.71257598</v>
      </c>
      <c r="AK44" s="115" t="n">
        <f aca="false">AK43-AK30</f>
        <v>854207.230338238</v>
      </c>
      <c r="AL44" s="115" t="n">
        <f aca="false">AL43-AL30</f>
        <v>1105913.36461373</v>
      </c>
      <c r="AM44" s="115" t="n">
        <f aca="false">AM43-AM30</f>
        <v>1064430.45297598</v>
      </c>
      <c r="AN44" s="115" t="n">
        <f aca="false">AN43-AN30</f>
        <v>854207.230338238</v>
      </c>
      <c r="AO44" s="115" t="n">
        <f aca="false">AO43-AO30</f>
        <v>857015.894787257</v>
      </c>
      <c r="AP44" s="115" t="n">
        <f aca="false">AP43-AP30</f>
        <v>963352.275187257</v>
      </c>
      <c r="AQ44" s="115" t="n">
        <f aca="false">AQ43-AQ30</f>
        <v>983914.167862748</v>
      </c>
    </row>
    <row r="45" customFormat="false" ht="21" hidden="false" customHeight="true" outlineLevel="0" collapsed="false">
      <c r="C45" s="74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</row>
    <row r="46" customFormat="false" ht="21" hidden="false" customHeight="true" outlineLevel="0" collapsed="false">
      <c r="C46" s="74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</row>
    <row r="47" customFormat="false" ht="21" hidden="false" customHeight="true" outlineLevel="0" collapsed="false">
      <c r="C47" s="74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</row>
    <row r="48" customFormat="false" ht="21" hidden="false" customHeight="true" outlineLevel="0" collapsed="false">
      <c r="C48" s="83" t="s">
        <v>795</v>
      </c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</row>
    <row r="49" customFormat="false" ht="21" hidden="false" customHeight="true" outlineLevel="0" collapsed="false">
      <c r="C49" s="83" t="s">
        <v>796</v>
      </c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</row>
    <row r="50" customFormat="false" ht="21" hidden="false" customHeight="true" outlineLevel="0" collapsed="false">
      <c r="C50" s="74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</row>
    <row r="51" customFormat="false" ht="21" hidden="false" customHeight="true" outlineLevel="0" collapsed="false">
      <c r="C51" s="74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</row>
    <row r="52" customFormat="false" ht="37.5" hidden="false" customHeight="true" outlineLevel="0" collapsed="false">
      <c r="C52" s="78" t="s">
        <v>797</v>
      </c>
      <c r="D52" s="85" t="s">
        <v>715</v>
      </c>
      <c r="E52" s="85" t="s">
        <v>716</v>
      </c>
      <c r="F52" s="85" t="s">
        <v>717</v>
      </c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</row>
    <row r="53" customFormat="false" ht="24" hidden="false" customHeight="true" outlineLevel="0" collapsed="false">
      <c r="C53" s="74" t="s">
        <v>798</v>
      </c>
      <c r="D53" s="109" t="n">
        <f aca="false">SUM(H53:S53)</f>
        <v>840000</v>
      </c>
      <c r="E53" s="109" t="n">
        <f aca="false">SUM(T53:AE53)</f>
        <v>2380000</v>
      </c>
      <c r="F53" s="109" t="n">
        <f aca="false">SUM(AF53:AQ53)</f>
        <v>4750000</v>
      </c>
      <c r="G53" s="79"/>
      <c r="H53" s="81" t="n">
        <f aca="false">SUMIFS('W Program Monthly'!$H$6:$H$509,'W Program Monthly'!$C$6:$C$509,H$6,'W Program Monthly'!$F$6:$F$509,"Schools")</f>
        <v>0</v>
      </c>
      <c r="I53" s="81" t="n">
        <f aca="false">SUMIFS('W Program Monthly'!$H$6:$H$509,'W Program Monthly'!$C$6:$C$509,I$6,'W Program Monthly'!$F$6:$F$509,"Schools")</f>
        <v>22105.2631578947</v>
      </c>
      <c r="J53" s="81" t="n">
        <f aca="false">SUMIFS('W Program Monthly'!$H$6:$H$509,'W Program Monthly'!$C$6:$C$509,J$6,'W Program Monthly'!$F$6:$F$509,"Schools")</f>
        <v>44210.5263157895</v>
      </c>
      <c r="K53" s="81" t="n">
        <f aca="false">SUMIFS('W Program Monthly'!$H$6:$H$509,'W Program Monthly'!$C$6:$C$509,K$6,'W Program Monthly'!$F$6:$F$509,"Schools")</f>
        <v>66315.7894736842</v>
      </c>
      <c r="L53" s="81" t="n">
        <f aca="false">SUMIFS('W Program Monthly'!$H$6:$H$509,'W Program Monthly'!$C$6:$C$509,L$6,'W Program Monthly'!$F$6:$F$509,"Schools")</f>
        <v>88421.052631579</v>
      </c>
      <c r="M53" s="81" t="n">
        <f aca="false">SUMIFS('W Program Monthly'!$H$6:$H$509,'W Program Monthly'!$C$6:$C$509,M$6,'W Program Monthly'!$F$6:$F$509,"Schools")</f>
        <v>88421.052631579</v>
      </c>
      <c r="N53" s="81" t="n">
        <f aca="false">SUMIFS('W Program Monthly'!$H$6:$H$509,'W Program Monthly'!$C$6:$C$509,N$6,'W Program Monthly'!$F$6:$F$509,"Schools")</f>
        <v>88421.052631579</v>
      </c>
      <c r="O53" s="81" t="n">
        <f aca="false">SUMIFS('W Program Monthly'!$H$6:$H$509,'W Program Monthly'!$C$6:$C$509,O$6,'W Program Monthly'!$F$6:$F$509,"Schools")</f>
        <v>88421.052631579</v>
      </c>
      <c r="P53" s="81" t="n">
        <f aca="false">SUMIFS('W Program Monthly'!$H$6:$H$509,'W Program Monthly'!$C$6:$C$509,P$6,'W Program Monthly'!$F$6:$F$509,"Schools")</f>
        <v>88421.052631579</v>
      </c>
      <c r="Q53" s="81" t="n">
        <f aca="false">SUMIFS('W Program Monthly'!$H$6:$H$509,'W Program Monthly'!$C$6:$C$509,Q$6,'W Program Monthly'!$F$6:$F$509,"Schools")</f>
        <v>88421.052631579</v>
      </c>
      <c r="R53" s="81" t="n">
        <f aca="false">SUMIFS('W Program Monthly'!$H$6:$H$509,'W Program Monthly'!$C$6:$C$509,R$6,'W Program Monthly'!$F$6:$F$509,"Schools")</f>
        <v>88421.052631579</v>
      </c>
      <c r="S53" s="81" t="n">
        <f aca="false">SUMIFS('W Program Monthly'!$H$6:$H$509,'W Program Monthly'!$C$6:$C$509,S$6,'W Program Monthly'!$F$6:$F$509,"Schools")</f>
        <v>88421.052631579</v>
      </c>
      <c r="T53" s="81" t="n">
        <f aca="false">SUMIFS('W Program Monthly'!$H$6:$H$509,'W Program Monthly'!$C$6:$C$509,T$6,'W Program Monthly'!$F$6:$F$509,"Schools")</f>
        <v>198333.333333333</v>
      </c>
      <c r="U53" s="81" t="n">
        <f aca="false">SUMIFS('W Program Monthly'!$H$6:$H$509,'W Program Monthly'!$C$6:$C$509,U$6,'W Program Monthly'!$F$6:$F$509,"Schools")</f>
        <v>198333.333333333</v>
      </c>
      <c r="V53" s="81" t="n">
        <f aca="false">SUMIFS('W Program Monthly'!$H$6:$H$509,'W Program Monthly'!$C$6:$C$509,V$6,'W Program Monthly'!$F$6:$F$509,"Schools")</f>
        <v>198333.333333333</v>
      </c>
      <c r="W53" s="81" t="n">
        <f aca="false">SUMIFS('W Program Monthly'!$H$6:$H$509,'W Program Monthly'!$C$6:$C$509,W$6,'W Program Monthly'!$F$6:$F$509,"Schools")</f>
        <v>198333.333333333</v>
      </c>
      <c r="X53" s="81" t="n">
        <f aca="false">SUMIFS('W Program Monthly'!$H$6:$H$509,'W Program Monthly'!$C$6:$C$509,X$6,'W Program Monthly'!$F$6:$F$509,"Schools")</f>
        <v>198333.333333333</v>
      </c>
      <c r="Y53" s="81" t="n">
        <f aca="false">SUMIFS('W Program Monthly'!$H$6:$H$509,'W Program Monthly'!$C$6:$C$509,Y$6,'W Program Monthly'!$F$6:$F$509,"Schools")</f>
        <v>198333.333333333</v>
      </c>
      <c r="Z53" s="81" t="n">
        <f aca="false">SUMIFS('W Program Monthly'!$H$6:$H$509,'W Program Monthly'!$C$6:$C$509,Z$6,'W Program Monthly'!$F$6:$F$509,"Schools")</f>
        <v>198333.333333333</v>
      </c>
      <c r="AA53" s="81" t="n">
        <f aca="false">SUMIFS('W Program Monthly'!$H$6:$H$509,'W Program Monthly'!$C$6:$C$509,AA$6,'W Program Monthly'!$F$6:$F$509,"Schools")</f>
        <v>198333.333333333</v>
      </c>
      <c r="AB53" s="81" t="n">
        <f aca="false">SUMIFS('W Program Monthly'!$H$6:$H$509,'W Program Monthly'!$C$6:$C$509,AB$6,'W Program Monthly'!$F$6:$F$509,"Schools")</f>
        <v>198333.333333333</v>
      </c>
      <c r="AC53" s="81" t="n">
        <f aca="false">SUMIFS('W Program Monthly'!$H$6:$H$509,'W Program Monthly'!$C$6:$C$509,AC$6,'W Program Monthly'!$F$6:$F$509,"Schools")</f>
        <v>198333.333333333</v>
      </c>
      <c r="AD53" s="81" t="n">
        <f aca="false">SUMIFS('W Program Monthly'!$H$6:$H$509,'W Program Monthly'!$C$6:$C$509,AD$6,'W Program Monthly'!$F$6:$F$509,"Schools")</f>
        <v>198333.333333333</v>
      </c>
      <c r="AE53" s="81" t="n">
        <f aca="false">SUMIFS('W Program Monthly'!$H$6:$H$509,'W Program Monthly'!$C$6:$C$509,AE$6,'W Program Monthly'!$F$6:$F$509,"Schools")</f>
        <v>198333.333333333</v>
      </c>
      <c r="AF53" s="81" t="n">
        <f aca="false">SUMIFS('W Program Monthly'!$H$6:$H$509,'W Program Monthly'!$C$6:$C$509,AF$6,'W Program Monthly'!$F$6:$F$509,"Schools")</f>
        <v>395833.333333333</v>
      </c>
      <c r="AG53" s="81" t="n">
        <f aca="false">SUMIFS('W Program Monthly'!$H$6:$H$509,'W Program Monthly'!$C$6:$C$509,AG$6,'W Program Monthly'!$F$6:$F$509,"Schools")</f>
        <v>395833.333333333</v>
      </c>
      <c r="AH53" s="81" t="n">
        <f aca="false">SUMIFS('W Program Monthly'!$H$6:$H$509,'W Program Monthly'!$C$6:$C$509,AH$6,'W Program Monthly'!$F$6:$F$509,"Schools")</f>
        <v>395833.333333333</v>
      </c>
      <c r="AI53" s="81" t="n">
        <f aca="false">SUMIFS('W Program Monthly'!$H$6:$H$509,'W Program Monthly'!$C$6:$C$509,AI$6,'W Program Monthly'!$F$6:$F$509,"Schools")</f>
        <v>395833.333333333</v>
      </c>
      <c r="AJ53" s="81" t="n">
        <f aca="false">SUMIFS('W Program Monthly'!$H$6:$H$509,'W Program Monthly'!$C$6:$C$509,AJ$6,'W Program Monthly'!$F$6:$F$509,"Schools")</f>
        <v>395833.333333333</v>
      </c>
      <c r="AK53" s="81" t="n">
        <f aca="false">SUMIFS('W Program Monthly'!$H$6:$H$509,'W Program Monthly'!$C$6:$C$509,AK$6,'W Program Monthly'!$F$6:$F$509,"Schools")</f>
        <v>395833.333333333</v>
      </c>
      <c r="AL53" s="81" t="n">
        <f aca="false">SUMIFS('W Program Monthly'!$H$6:$H$509,'W Program Monthly'!$C$6:$C$509,AL$6,'W Program Monthly'!$F$6:$F$509,"Schools")</f>
        <v>395833.333333333</v>
      </c>
      <c r="AM53" s="81" t="n">
        <f aca="false">SUMIFS('W Program Monthly'!$H$6:$H$509,'W Program Monthly'!$C$6:$C$509,AM$6,'W Program Monthly'!$F$6:$F$509,"Schools")</f>
        <v>395833.333333333</v>
      </c>
      <c r="AN53" s="81" t="n">
        <f aca="false">SUMIFS('W Program Monthly'!$H$6:$H$509,'W Program Monthly'!$C$6:$C$509,AN$6,'W Program Monthly'!$F$6:$F$509,"Schools")</f>
        <v>395833.333333333</v>
      </c>
      <c r="AO53" s="81" t="n">
        <f aca="false">SUMIFS('W Program Monthly'!$H$6:$H$509,'W Program Monthly'!$C$6:$C$509,AO$6,'W Program Monthly'!$F$6:$F$509,"Schools")</f>
        <v>395833.333333333</v>
      </c>
      <c r="AP53" s="81" t="n">
        <f aca="false">SUMIFS('W Program Monthly'!$H$6:$H$509,'W Program Monthly'!$C$6:$C$509,AP$6,'W Program Monthly'!$F$6:$F$509,"Schools")</f>
        <v>395833.333333333</v>
      </c>
      <c r="AQ53" s="81" t="n">
        <f aca="false">SUMIFS('W Program Monthly'!$H$6:$H$509,'W Program Monthly'!$C$6:$C$509,AQ$6,'W Program Monthly'!$F$6:$F$509,"Schools")</f>
        <v>395833.333333333</v>
      </c>
    </row>
    <row r="54" customFormat="false" ht="24" hidden="false" customHeight="true" outlineLevel="0" collapsed="false">
      <c r="C54" s="74" t="s">
        <v>799</v>
      </c>
      <c r="D54" s="109" t="n">
        <f aca="false">SUM(H54:S54)</f>
        <v>520000</v>
      </c>
      <c r="E54" s="109" t="n">
        <f aca="false">SUM(T54:AE54)</f>
        <v>1350000</v>
      </c>
      <c r="F54" s="109" t="n">
        <f aca="false">SUM(AF54:AQ54)</f>
        <v>2550000</v>
      </c>
      <c r="G54" s="79"/>
      <c r="H54" s="81" t="n">
        <f aca="false">SUMIFS('W Program Monthly'!$H$6:$H$509,'W Program Monthly'!$C$6:$C$509,H$6,'W Program Monthly'!$F$6:$F$509,"Activations")</f>
        <v>0</v>
      </c>
      <c r="I54" s="81" t="n">
        <f aca="false">SUMIFS('W Program Monthly'!$H$6:$H$509,'W Program Monthly'!$C$6:$C$509,I$6,'W Program Monthly'!$F$6:$F$509,"Activations")</f>
        <v>13684.2105263158</v>
      </c>
      <c r="J54" s="81" t="n">
        <f aca="false">SUMIFS('W Program Monthly'!$H$6:$H$509,'W Program Monthly'!$C$6:$C$509,J$6,'W Program Monthly'!$F$6:$F$509,"Activations")</f>
        <v>27368.4210526316</v>
      </c>
      <c r="K54" s="81" t="n">
        <f aca="false">SUMIFS('W Program Monthly'!$H$6:$H$509,'W Program Monthly'!$C$6:$C$509,K$6,'W Program Monthly'!$F$6:$F$509,"Activations")</f>
        <v>41052.6315789474</v>
      </c>
      <c r="L54" s="81" t="n">
        <f aca="false">SUMIFS('W Program Monthly'!$H$6:$H$509,'W Program Monthly'!$C$6:$C$509,L$6,'W Program Monthly'!$F$6:$F$509,"Activations")</f>
        <v>54736.8421052632</v>
      </c>
      <c r="M54" s="81" t="n">
        <f aca="false">SUMIFS('W Program Monthly'!$H$6:$H$509,'W Program Monthly'!$C$6:$C$509,M$6,'W Program Monthly'!$F$6:$F$509,"Activations")</f>
        <v>54736.8421052632</v>
      </c>
      <c r="N54" s="81" t="n">
        <f aca="false">SUMIFS('W Program Monthly'!$H$6:$H$509,'W Program Monthly'!$C$6:$C$509,N$6,'W Program Monthly'!$F$6:$F$509,"Activations")</f>
        <v>54736.8421052632</v>
      </c>
      <c r="O54" s="81" t="n">
        <f aca="false">SUMIFS('W Program Monthly'!$H$6:$H$509,'W Program Monthly'!$C$6:$C$509,O$6,'W Program Monthly'!$F$6:$F$509,"Activations")</f>
        <v>54736.8421052632</v>
      </c>
      <c r="P54" s="81" t="n">
        <f aca="false">SUMIFS('W Program Monthly'!$H$6:$H$509,'W Program Monthly'!$C$6:$C$509,P$6,'W Program Monthly'!$F$6:$F$509,"Activations")</f>
        <v>54736.8421052632</v>
      </c>
      <c r="Q54" s="81" t="n">
        <f aca="false">SUMIFS('W Program Monthly'!$H$6:$H$509,'W Program Monthly'!$C$6:$C$509,Q$6,'W Program Monthly'!$F$6:$F$509,"Activations")</f>
        <v>54736.8421052632</v>
      </c>
      <c r="R54" s="81" t="n">
        <f aca="false">SUMIFS('W Program Monthly'!$H$6:$H$509,'W Program Monthly'!$C$6:$C$509,R$6,'W Program Monthly'!$F$6:$F$509,"Activations")</f>
        <v>54736.8421052632</v>
      </c>
      <c r="S54" s="81" t="n">
        <f aca="false">SUMIFS('W Program Monthly'!$H$6:$H$509,'W Program Monthly'!$C$6:$C$509,S$6,'W Program Monthly'!$F$6:$F$509,"Activations")</f>
        <v>54736.8421052632</v>
      </c>
      <c r="T54" s="81" t="n">
        <f aca="false">SUMIFS('W Program Monthly'!$H$6:$H$509,'W Program Monthly'!$C$6:$C$509,T$6,'W Program Monthly'!$F$6:$F$509,"Activations")</f>
        <v>112500</v>
      </c>
      <c r="U54" s="81" t="n">
        <f aca="false">SUMIFS('W Program Monthly'!$H$6:$H$509,'W Program Monthly'!$C$6:$C$509,U$6,'W Program Monthly'!$F$6:$F$509,"Activations")</f>
        <v>112500</v>
      </c>
      <c r="V54" s="81" t="n">
        <f aca="false">SUMIFS('W Program Monthly'!$H$6:$H$509,'W Program Monthly'!$C$6:$C$509,V$6,'W Program Monthly'!$F$6:$F$509,"Activations")</f>
        <v>112500</v>
      </c>
      <c r="W54" s="81" t="n">
        <f aca="false">SUMIFS('W Program Monthly'!$H$6:$H$509,'W Program Monthly'!$C$6:$C$509,W$6,'W Program Monthly'!$F$6:$F$509,"Activations")</f>
        <v>112500</v>
      </c>
      <c r="X54" s="81" t="n">
        <f aca="false">SUMIFS('W Program Monthly'!$H$6:$H$509,'W Program Monthly'!$C$6:$C$509,X$6,'W Program Monthly'!$F$6:$F$509,"Activations")</f>
        <v>112500</v>
      </c>
      <c r="Y54" s="81" t="n">
        <f aca="false">SUMIFS('W Program Monthly'!$H$6:$H$509,'W Program Monthly'!$C$6:$C$509,Y$6,'W Program Monthly'!$F$6:$F$509,"Activations")</f>
        <v>112500</v>
      </c>
      <c r="Z54" s="81" t="n">
        <f aca="false">SUMIFS('W Program Monthly'!$H$6:$H$509,'W Program Monthly'!$C$6:$C$509,Z$6,'W Program Monthly'!$F$6:$F$509,"Activations")</f>
        <v>112500</v>
      </c>
      <c r="AA54" s="81" t="n">
        <f aca="false">SUMIFS('W Program Monthly'!$H$6:$H$509,'W Program Monthly'!$C$6:$C$509,AA$6,'W Program Monthly'!$F$6:$F$509,"Activations")</f>
        <v>112500</v>
      </c>
      <c r="AB54" s="81" t="n">
        <f aca="false">SUMIFS('W Program Monthly'!$H$6:$H$509,'W Program Monthly'!$C$6:$C$509,AB$6,'W Program Monthly'!$F$6:$F$509,"Activations")</f>
        <v>112500</v>
      </c>
      <c r="AC54" s="81" t="n">
        <f aca="false">SUMIFS('W Program Monthly'!$H$6:$H$509,'W Program Monthly'!$C$6:$C$509,AC$6,'W Program Monthly'!$F$6:$F$509,"Activations")</f>
        <v>112500</v>
      </c>
      <c r="AD54" s="81" t="n">
        <f aca="false">SUMIFS('W Program Monthly'!$H$6:$H$509,'W Program Monthly'!$C$6:$C$509,AD$6,'W Program Monthly'!$F$6:$F$509,"Activations")</f>
        <v>112500</v>
      </c>
      <c r="AE54" s="81" t="n">
        <f aca="false">SUMIFS('W Program Monthly'!$H$6:$H$509,'W Program Monthly'!$C$6:$C$509,AE$6,'W Program Monthly'!$F$6:$F$509,"Activations")</f>
        <v>112500</v>
      </c>
      <c r="AF54" s="81" t="n">
        <f aca="false">SUMIFS('W Program Monthly'!$H$6:$H$509,'W Program Monthly'!$C$6:$C$509,AF$6,'W Program Monthly'!$F$6:$F$509,"Activations")</f>
        <v>212500</v>
      </c>
      <c r="AG54" s="81" t="n">
        <f aca="false">SUMIFS('W Program Monthly'!$H$6:$H$509,'W Program Monthly'!$C$6:$C$509,AG$6,'W Program Monthly'!$F$6:$F$509,"Activations")</f>
        <v>212500</v>
      </c>
      <c r="AH54" s="81" t="n">
        <f aca="false">SUMIFS('W Program Monthly'!$H$6:$H$509,'W Program Monthly'!$C$6:$C$509,AH$6,'W Program Monthly'!$F$6:$F$509,"Activations")</f>
        <v>212500</v>
      </c>
      <c r="AI54" s="81" t="n">
        <f aca="false">SUMIFS('W Program Monthly'!$H$6:$H$509,'W Program Monthly'!$C$6:$C$509,AI$6,'W Program Monthly'!$F$6:$F$509,"Activations")</f>
        <v>212500</v>
      </c>
      <c r="AJ54" s="81" t="n">
        <f aca="false">SUMIFS('W Program Monthly'!$H$6:$H$509,'W Program Monthly'!$C$6:$C$509,AJ$6,'W Program Monthly'!$F$6:$F$509,"Activations")</f>
        <v>212500</v>
      </c>
      <c r="AK54" s="81" t="n">
        <f aca="false">SUMIFS('W Program Monthly'!$H$6:$H$509,'W Program Monthly'!$C$6:$C$509,AK$6,'W Program Monthly'!$F$6:$F$509,"Activations")</f>
        <v>212500</v>
      </c>
      <c r="AL54" s="81" t="n">
        <f aca="false">SUMIFS('W Program Monthly'!$H$6:$H$509,'W Program Monthly'!$C$6:$C$509,AL$6,'W Program Monthly'!$F$6:$F$509,"Activations")</f>
        <v>212500</v>
      </c>
      <c r="AM54" s="81" t="n">
        <f aca="false">SUMIFS('W Program Monthly'!$H$6:$H$509,'W Program Monthly'!$C$6:$C$509,AM$6,'W Program Monthly'!$F$6:$F$509,"Activations")</f>
        <v>212500</v>
      </c>
      <c r="AN54" s="81" t="n">
        <f aca="false">SUMIFS('W Program Monthly'!$H$6:$H$509,'W Program Monthly'!$C$6:$C$509,AN$6,'W Program Monthly'!$F$6:$F$509,"Activations")</f>
        <v>212500</v>
      </c>
      <c r="AO54" s="81" t="n">
        <f aca="false">SUMIFS('W Program Monthly'!$H$6:$H$509,'W Program Monthly'!$C$6:$C$509,AO$6,'W Program Monthly'!$F$6:$F$509,"Activations")</f>
        <v>212500</v>
      </c>
      <c r="AP54" s="81" t="n">
        <f aca="false">SUMIFS('W Program Monthly'!$H$6:$H$509,'W Program Monthly'!$C$6:$C$509,AP$6,'W Program Monthly'!$F$6:$F$509,"Activations")</f>
        <v>212500</v>
      </c>
      <c r="AQ54" s="81" t="n">
        <f aca="false">SUMIFS('W Program Monthly'!$H$6:$H$509,'W Program Monthly'!$C$6:$C$509,AQ$6,'W Program Monthly'!$F$6:$F$509,"Activations")</f>
        <v>212500</v>
      </c>
    </row>
    <row r="55" customFormat="false" ht="24" hidden="false" customHeight="true" outlineLevel="0" collapsed="false">
      <c r="C55" s="74" t="s">
        <v>800</v>
      </c>
      <c r="D55" s="109" t="n">
        <f aca="false">SUM(H55:S55)</f>
        <v>360000</v>
      </c>
      <c r="E55" s="109" t="n">
        <f aca="false">SUM(T55:AE55)</f>
        <v>800000</v>
      </c>
      <c r="F55" s="109" t="n">
        <f aca="false">SUM(AF55:AQ55)</f>
        <v>1430000</v>
      </c>
      <c r="G55" s="79"/>
      <c r="H55" s="81" t="n">
        <f aca="false">SUMIFS('W Program Monthly'!$H$6:$H$509,'W Program Monthly'!$C$6:$C$509,H$6,'W Program Monthly'!$F$6:$F$509,"Workshops")</f>
        <v>0</v>
      </c>
      <c r="I55" s="81" t="n">
        <f aca="false">SUMIFS('W Program Monthly'!$H$6:$H$509,'W Program Monthly'!$C$6:$C$509,I$6,'W Program Monthly'!$F$6:$F$509,"Workshops")</f>
        <v>9473.68421052632</v>
      </c>
      <c r="J55" s="81" t="n">
        <f aca="false">SUMIFS('W Program Monthly'!$H$6:$H$509,'W Program Monthly'!$C$6:$C$509,J$6,'W Program Monthly'!$F$6:$F$509,"Workshops")</f>
        <v>18947.3684210526</v>
      </c>
      <c r="K55" s="81" t="n">
        <f aca="false">SUMIFS('W Program Monthly'!$H$6:$H$509,'W Program Monthly'!$C$6:$C$509,K$6,'W Program Monthly'!$F$6:$F$509,"Workshops")</f>
        <v>28421.0526315789</v>
      </c>
      <c r="L55" s="81" t="n">
        <f aca="false">SUMIFS('W Program Monthly'!$H$6:$H$509,'W Program Monthly'!$C$6:$C$509,L$6,'W Program Monthly'!$F$6:$F$509,"Workshops")</f>
        <v>37894.7368421053</v>
      </c>
      <c r="M55" s="81" t="n">
        <f aca="false">SUMIFS('W Program Monthly'!$H$6:$H$509,'W Program Monthly'!$C$6:$C$509,M$6,'W Program Monthly'!$F$6:$F$509,"Workshops")</f>
        <v>37894.7368421053</v>
      </c>
      <c r="N55" s="81" t="n">
        <f aca="false">SUMIFS('W Program Monthly'!$H$6:$H$509,'W Program Monthly'!$C$6:$C$509,N$6,'W Program Monthly'!$F$6:$F$509,"Workshops")</f>
        <v>37894.7368421053</v>
      </c>
      <c r="O55" s="81" t="n">
        <f aca="false">SUMIFS('W Program Monthly'!$H$6:$H$509,'W Program Monthly'!$C$6:$C$509,O$6,'W Program Monthly'!$F$6:$F$509,"Workshops")</f>
        <v>37894.7368421053</v>
      </c>
      <c r="P55" s="81" t="n">
        <f aca="false">SUMIFS('W Program Monthly'!$H$6:$H$509,'W Program Monthly'!$C$6:$C$509,P$6,'W Program Monthly'!$F$6:$F$509,"Workshops")</f>
        <v>37894.7368421053</v>
      </c>
      <c r="Q55" s="81" t="n">
        <f aca="false">SUMIFS('W Program Monthly'!$H$6:$H$509,'W Program Monthly'!$C$6:$C$509,Q$6,'W Program Monthly'!$F$6:$F$509,"Workshops")</f>
        <v>37894.7368421053</v>
      </c>
      <c r="R55" s="81" t="n">
        <f aca="false">SUMIFS('W Program Monthly'!$H$6:$H$509,'W Program Monthly'!$C$6:$C$509,R$6,'W Program Monthly'!$F$6:$F$509,"Workshops")</f>
        <v>37894.7368421053</v>
      </c>
      <c r="S55" s="81" t="n">
        <f aca="false">SUMIFS('W Program Monthly'!$H$6:$H$509,'W Program Monthly'!$C$6:$C$509,S$6,'W Program Monthly'!$F$6:$F$509,"Workshops")</f>
        <v>37894.7368421053</v>
      </c>
      <c r="T55" s="81" t="n">
        <f aca="false">SUMIFS('W Program Monthly'!$H$6:$H$509,'W Program Monthly'!$C$6:$C$509,T$6,'W Program Monthly'!$F$6:$F$509,"Workshops")</f>
        <v>66666.6666666667</v>
      </c>
      <c r="U55" s="81" t="n">
        <f aca="false">SUMIFS('W Program Monthly'!$H$6:$H$509,'W Program Monthly'!$C$6:$C$509,U$6,'W Program Monthly'!$F$6:$F$509,"Workshops")</f>
        <v>66666.6666666667</v>
      </c>
      <c r="V55" s="81" t="n">
        <f aca="false">SUMIFS('W Program Monthly'!$H$6:$H$509,'W Program Monthly'!$C$6:$C$509,V$6,'W Program Monthly'!$F$6:$F$509,"Workshops")</f>
        <v>66666.6666666667</v>
      </c>
      <c r="W55" s="81" t="n">
        <f aca="false">SUMIFS('W Program Monthly'!$H$6:$H$509,'W Program Monthly'!$C$6:$C$509,W$6,'W Program Monthly'!$F$6:$F$509,"Workshops")</f>
        <v>66666.6666666667</v>
      </c>
      <c r="X55" s="81" t="n">
        <f aca="false">SUMIFS('W Program Monthly'!$H$6:$H$509,'W Program Monthly'!$C$6:$C$509,X$6,'W Program Monthly'!$F$6:$F$509,"Workshops")</f>
        <v>66666.6666666667</v>
      </c>
      <c r="Y55" s="81" t="n">
        <f aca="false">SUMIFS('W Program Monthly'!$H$6:$H$509,'W Program Monthly'!$C$6:$C$509,Y$6,'W Program Monthly'!$F$6:$F$509,"Workshops")</f>
        <v>66666.6666666667</v>
      </c>
      <c r="Z55" s="81" t="n">
        <f aca="false">SUMIFS('W Program Monthly'!$H$6:$H$509,'W Program Monthly'!$C$6:$C$509,Z$6,'W Program Monthly'!$F$6:$F$509,"Workshops")</f>
        <v>66666.6666666667</v>
      </c>
      <c r="AA55" s="81" t="n">
        <f aca="false">SUMIFS('W Program Monthly'!$H$6:$H$509,'W Program Monthly'!$C$6:$C$509,AA$6,'W Program Monthly'!$F$6:$F$509,"Workshops")</f>
        <v>66666.6666666667</v>
      </c>
      <c r="AB55" s="81" t="n">
        <f aca="false">SUMIFS('W Program Monthly'!$H$6:$H$509,'W Program Monthly'!$C$6:$C$509,AB$6,'W Program Monthly'!$F$6:$F$509,"Workshops")</f>
        <v>66666.6666666667</v>
      </c>
      <c r="AC55" s="81" t="n">
        <f aca="false">SUMIFS('W Program Monthly'!$H$6:$H$509,'W Program Monthly'!$C$6:$C$509,AC$6,'W Program Monthly'!$F$6:$F$509,"Workshops")</f>
        <v>66666.6666666667</v>
      </c>
      <c r="AD55" s="81" t="n">
        <f aca="false">SUMIFS('W Program Monthly'!$H$6:$H$509,'W Program Monthly'!$C$6:$C$509,AD$6,'W Program Monthly'!$F$6:$F$509,"Workshops")</f>
        <v>66666.6666666667</v>
      </c>
      <c r="AE55" s="81" t="n">
        <f aca="false">SUMIFS('W Program Monthly'!$H$6:$H$509,'W Program Monthly'!$C$6:$C$509,AE$6,'W Program Monthly'!$F$6:$F$509,"Workshops")</f>
        <v>66666.6666666667</v>
      </c>
      <c r="AF55" s="81" t="n">
        <f aca="false">SUMIFS('W Program Monthly'!$H$6:$H$509,'W Program Monthly'!$C$6:$C$509,AF$6,'W Program Monthly'!$F$6:$F$509,"Workshops")</f>
        <v>119166.666666667</v>
      </c>
      <c r="AG55" s="81" t="n">
        <f aca="false">SUMIFS('W Program Monthly'!$H$6:$H$509,'W Program Monthly'!$C$6:$C$509,AG$6,'W Program Monthly'!$F$6:$F$509,"Workshops")</f>
        <v>119166.666666667</v>
      </c>
      <c r="AH55" s="81" t="n">
        <f aca="false">SUMIFS('W Program Monthly'!$H$6:$H$509,'W Program Monthly'!$C$6:$C$509,AH$6,'W Program Monthly'!$F$6:$F$509,"Workshops")</f>
        <v>119166.666666667</v>
      </c>
      <c r="AI55" s="81" t="n">
        <f aca="false">SUMIFS('W Program Monthly'!$H$6:$H$509,'W Program Monthly'!$C$6:$C$509,AI$6,'W Program Monthly'!$F$6:$F$509,"Workshops")</f>
        <v>119166.666666667</v>
      </c>
      <c r="AJ55" s="81" t="n">
        <f aca="false">SUMIFS('W Program Monthly'!$H$6:$H$509,'W Program Monthly'!$C$6:$C$509,AJ$6,'W Program Monthly'!$F$6:$F$509,"Workshops")</f>
        <v>119166.666666667</v>
      </c>
      <c r="AK55" s="81" t="n">
        <f aca="false">SUMIFS('W Program Monthly'!$H$6:$H$509,'W Program Monthly'!$C$6:$C$509,AK$6,'W Program Monthly'!$F$6:$F$509,"Workshops")</f>
        <v>119166.666666667</v>
      </c>
      <c r="AL55" s="81" t="n">
        <f aca="false">SUMIFS('W Program Monthly'!$H$6:$H$509,'W Program Monthly'!$C$6:$C$509,AL$6,'W Program Monthly'!$F$6:$F$509,"Workshops")</f>
        <v>119166.666666667</v>
      </c>
      <c r="AM55" s="81" t="n">
        <f aca="false">SUMIFS('W Program Monthly'!$H$6:$H$509,'W Program Monthly'!$C$6:$C$509,AM$6,'W Program Monthly'!$F$6:$F$509,"Workshops")</f>
        <v>119166.666666667</v>
      </c>
      <c r="AN55" s="81" t="n">
        <f aca="false">SUMIFS('W Program Monthly'!$H$6:$H$509,'W Program Monthly'!$C$6:$C$509,AN$6,'W Program Monthly'!$F$6:$F$509,"Workshops")</f>
        <v>119166.666666667</v>
      </c>
      <c r="AO55" s="81" t="n">
        <f aca="false">SUMIFS('W Program Monthly'!$H$6:$H$509,'W Program Monthly'!$C$6:$C$509,AO$6,'W Program Monthly'!$F$6:$F$509,"Workshops")</f>
        <v>119166.666666667</v>
      </c>
      <c r="AP55" s="81" t="n">
        <f aca="false">SUMIFS('W Program Monthly'!$H$6:$H$509,'W Program Monthly'!$C$6:$C$509,AP$6,'W Program Monthly'!$F$6:$F$509,"Workshops")</f>
        <v>119166.666666667</v>
      </c>
      <c r="AQ55" s="81" t="n">
        <f aca="false">SUMIFS('W Program Monthly'!$H$6:$H$509,'W Program Monthly'!$C$6:$C$509,AQ$6,'W Program Monthly'!$F$6:$F$509,"Workshops")</f>
        <v>119166.666666667</v>
      </c>
    </row>
    <row r="56" customFormat="false" ht="24" hidden="false" customHeight="true" outlineLevel="0" collapsed="false">
      <c r="C56" s="74" t="s">
        <v>801</v>
      </c>
      <c r="D56" s="109" t="n">
        <f aca="false">SUM(H56:S56)</f>
        <v>250000</v>
      </c>
      <c r="E56" s="109" t="n">
        <f aca="false">SUM(T56:AE56)</f>
        <v>900000</v>
      </c>
      <c r="F56" s="109" t="n">
        <f aca="false">SUM(AF56:AQ56)</f>
        <v>1650000</v>
      </c>
      <c r="G56" s="79"/>
      <c r="H56" s="81" t="n">
        <f aca="false">SUMIFS('W Program Monthly'!$H$6:$H$509,'W Program Monthly'!$C$6:$C$509,H$6,'W Program Monthly'!$F$6:$F$509,"Installations")</f>
        <v>0</v>
      </c>
      <c r="I56" s="81" t="n">
        <f aca="false">SUMIFS('W Program Monthly'!$H$6:$H$509,'W Program Monthly'!$C$6:$C$509,I$6,'W Program Monthly'!$F$6:$F$509,"Installations")</f>
        <v>6578.94736842105</v>
      </c>
      <c r="J56" s="81" t="n">
        <f aca="false">SUMIFS('W Program Monthly'!$H$6:$H$509,'W Program Monthly'!$C$6:$C$509,J$6,'W Program Monthly'!$F$6:$F$509,"Installations")</f>
        <v>13157.8947368421</v>
      </c>
      <c r="K56" s="81" t="n">
        <f aca="false">SUMIFS('W Program Monthly'!$H$6:$H$509,'W Program Monthly'!$C$6:$C$509,K$6,'W Program Monthly'!$F$6:$F$509,"Installations")</f>
        <v>19736.8421052632</v>
      </c>
      <c r="L56" s="81" t="n">
        <f aca="false">SUMIFS('W Program Monthly'!$H$6:$H$509,'W Program Monthly'!$C$6:$C$509,L$6,'W Program Monthly'!$F$6:$F$509,"Installations")</f>
        <v>26315.7894736842</v>
      </c>
      <c r="M56" s="81" t="n">
        <f aca="false">SUMIFS('W Program Monthly'!$H$6:$H$509,'W Program Monthly'!$C$6:$C$509,M$6,'W Program Monthly'!$F$6:$F$509,"Installations")</f>
        <v>26315.7894736842</v>
      </c>
      <c r="N56" s="81" t="n">
        <f aca="false">SUMIFS('W Program Monthly'!$H$6:$H$509,'W Program Monthly'!$C$6:$C$509,N$6,'W Program Monthly'!$F$6:$F$509,"Installations")</f>
        <v>26315.7894736842</v>
      </c>
      <c r="O56" s="81" t="n">
        <f aca="false">SUMIFS('W Program Monthly'!$H$6:$H$509,'W Program Monthly'!$C$6:$C$509,O$6,'W Program Monthly'!$F$6:$F$509,"Installations")</f>
        <v>26315.7894736842</v>
      </c>
      <c r="P56" s="81" t="n">
        <f aca="false">SUMIFS('W Program Monthly'!$H$6:$H$509,'W Program Monthly'!$C$6:$C$509,P$6,'W Program Monthly'!$F$6:$F$509,"Installations")</f>
        <v>26315.7894736842</v>
      </c>
      <c r="Q56" s="81" t="n">
        <f aca="false">SUMIFS('W Program Monthly'!$H$6:$H$509,'W Program Monthly'!$C$6:$C$509,Q$6,'W Program Monthly'!$F$6:$F$509,"Installations")</f>
        <v>26315.7894736842</v>
      </c>
      <c r="R56" s="81" t="n">
        <f aca="false">SUMIFS('W Program Monthly'!$H$6:$H$509,'W Program Monthly'!$C$6:$C$509,R$6,'W Program Monthly'!$F$6:$F$509,"Installations")</f>
        <v>26315.7894736842</v>
      </c>
      <c r="S56" s="81" t="n">
        <f aca="false">SUMIFS('W Program Monthly'!$H$6:$H$509,'W Program Monthly'!$C$6:$C$509,S$6,'W Program Monthly'!$F$6:$F$509,"Installations")</f>
        <v>26315.7894736842</v>
      </c>
      <c r="T56" s="81" t="n">
        <f aca="false">SUMIFS('W Program Monthly'!$H$6:$H$509,'W Program Monthly'!$C$6:$C$509,T$6,'W Program Monthly'!$F$6:$F$509,"Installations")</f>
        <v>75000</v>
      </c>
      <c r="U56" s="81" t="n">
        <f aca="false">SUMIFS('W Program Monthly'!$H$6:$H$509,'W Program Monthly'!$C$6:$C$509,U$6,'W Program Monthly'!$F$6:$F$509,"Installations")</f>
        <v>75000</v>
      </c>
      <c r="V56" s="81" t="n">
        <f aca="false">SUMIFS('W Program Monthly'!$H$6:$H$509,'W Program Monthly'!$C$6:$C$509,V$6,'W Program Monthly'!$F$6:$F$509,"Installations")</f>
        <v>75000</v>
      </c>
      <c r="W56" s="81" t="n">
        <f aca="false">SUMIFS('W Program Monthly'!$H$6:$H$509,'W Program Monthly'!$C$6:$C$509,W$6,'W Program Monthly'!$F$6:$F$509,"Installations")</f>
        <v>75000</v>
      </c>
      <c r="X56" s="81" t="n">
        <f aca="false">SUMIFS('W Program Monthly'!$H$6:$H$509,'W Program Monthly'!$C$6:$C$509,X$6,'W Program Monthly'!$F$6:$F$509,"Installations")</f>
        <v>75000</v>
      </c>
      <c r="Y56" s="81" t="n">
        <f aca="false">SUMIFS('W Program Monthly'!$H$6:$H$509,'W Program Monthly'!$C$6:$C$509,Y$6,'W Program Monthly'!$F$6:$F$509,"Installations")</f>
        <v>75000</v>
      </c>
      <c r="Z56" s="81" t="n">
        <f aca="false">SUMIFS('W Program Monthly'!$H$6:$H$509,'W Program Monthly'!$C$6:$C$509,Z$6,'W Program Monthly'!$F$6:$F$509,"Installations")</f>
        <v>75000</v>
      </c>
      <c r="AA56" s="81" t="n">
        <f aca="false">SUMIFS('W Program Monthly'!$H$6:$H$509,'W Program Monthly'!$C$6:$C$509,AA$6,'W Program Monthly'!$F$6:$F$509,"Installations")</f>
        <v>75000</v>
      </c>
      <c r="AB56" s="81" t="n">
        <f aca="false">SUMIFS('W Program Monthly'!$H$6:$H$509,'W Program Monthly'!$C$6:$C$509,AB$6,'W Program Monthly'!$F$6:$F$509,"Installations")</f>
        <v>75000</v>
      </c>
      <c r="AC56" s="81" t="n">
        <f aca="false">SUMIFS('W Program Monthly'!$H$6:$H$509,'W Program Monthly'!$C$6:$C$509,AC$6,'W Program Monthly'!$F$6:$F$509,"Installations")</f>
        <v>75000</v>
      </c>
      <c r="AD56" s="81" t="n">
        <f aca="false">SUMIFS('W Program Monthly'!$H$6:$H$509,'W Program Monthly'!$C$6:$C$509,AD$6,'W Program Monthly'!$F$6:$F$509,"Installations")</f>
        <v>75000</v>
      </c>
      <c r="AE56" s="81" t="n">
        <f aca="false">SUMIFS('W Program Monthly'!$H$6:$H$509,'W Program Monthly'!$C$6:$C$509,AE$6,'W Program Monthly'!$F$6:$F$509,"Installations")</f>
        <v>75000</v>
      </c>
      <c r="AF56" s="81" t="n">
        <f aca="false">SUMIFS('W Program Monthly'!$H$6:$H$509,'W Program Monthly'!$C$6:$C$509,AF$6,'W Program Monthly'!$F$6:$F$509,"Installations")</f>
        <v>137500</v>
      </c>
      <c r="AG56" s="81" t="n">
        <f aca="false">SUMIFS('W Program Monthly'!$H$6:$H$509,'W Program Monthly'!$C$6:$C$509,AG$6,'W Program Monthly'!$F$6:$F$509,"Installations")</f>
        <v>137500</v>
      </c>
      <c r="AH56" s="81" t="n">
        <f aca="false">SUMIFS('W Program Monthly'!$H$6:$H$509,'W Program Monthly'!$C$6:$C$509,AH$6,'W Program Monthly'!$F$6:$F$509,"Installations")</f>
        <v>137500</v>
      </c>
      <c r="AI56" s="81" t="n">
        <f aca="false">SUMIFS('W Program Monthly'!$H$6:$H$509,'W Program Monthly'!$C$6:$C$509,AI$6,'W Program Monthly'!$F$6:$F$509,"Installations")</f>
        <v>137500</v>
      </c>
      <c r="AJ56" s="81" t="n">
        <f aca="false">SUMIFS('W Program Monthly'!$H$6:$H$509,'W Program Monthly'!$C$6:$C$509,AJ$6,'W Program Monthly'!$F$6:$F$509,"Installations")</f>
        <v>137500</v>
      </c>
      <c r="AK56" s="81" t="n">
        <f aca="false">SUMIFS('W Program Monthly'!$H$6:$H$509,'W Program Monthly'!$C$6:$C$509,AK$6,'W Program Monthly'!$F$6:$F$509,"Installations")</f>
        <v>137500</v>
      </c>
      <c r="AL56" s="81" t="n">
        <f aca="false">SUMIFS('W Program Monthly'!$H$6:$H$509,'W Program Monthly'!$C$6:$C$509,AL$6,'W Program Monthly'!$F$6:$F$509,"Installations")</f>
        <v>137500</v>
      </c>
      <c r="AM56" s="81" t="n">
        <f aca="false">SUMIFS('W Program Monthly'!$H$6:$H$509,'W Program Monthly'!$C$6:$C$509,AM$6,'W Program Monthly'!$F$6:$F$509,"Installations")</f>
        <v>137500</v>
      </c>
      <c r="AN56" s="81" t="n">
        <f aca="false">SUMIFS('W Program Monthly'!$H$6:$H$509,'W Program Monthly'!$C$6:$C$509,AN$6,'W Program Monthly'!$F$6:$F$509,"Installations")</f>
        <v>137500</v>
      </c>
      <c r="AO56" s="81" t="n">
        <f aca="false">SUMIFS('W Program Monthly'!$H$6:$H$509,'W Program Monthly'!$C$6:$C$509,AO$6,'W Program Monthly'!$F$6:$F$509,"Installations")</f>
        <v>137500</v>
      </c>
      <c r="AP56" s="81" t="n">
        <f aca="false">SUMIFS('W Program Monthly'!$H$6:$H$509,'W Program Monthly'!$C$6:$C$509,AP$6,'W Program Monthly'!$F$6:$F$509,"Installations")</f>
        <v>137500</v>
      </c>
      <c r="AQ56" s="81" t="n">
        <f aca="false">SUMIFS('W Program Monthly'!$H$6:$H$509,'W Program Monthly'!$C$6:$C$509,AQ$6,'W Program Monthly'!$F$6:$F$509,"Installations")</f>
        <v>137500</v>
      </c>
    </row>
    <row r="57" customFormat="false" ht="24" hidden="false" customHeight="true" outlineLevel="0" collapsed="false">
      <c r="C57" s="74" t="s">
        <v>802</v>
      </c>
      <c r="D57" s="109" t="n">
        <f aca="false">SUM(H57:S57)</f>
        <v>140000</v>
      </c>
      <c r="E57" s="109" t="n">
        <f aca="false">SUM(T57:AE57)</f>
        <v>525000</v>
      </c>
      <c r="F57" s="109" t="n">
        <f aca="false">SUM(AF57:AQ57)</f>
        <v>1500000</v>
      </c>
      <c r="G57" s="79"/>
      <c r="H57" s="81" t="n">
        <f aca="false">SUMIFS('W Program Monthly'!$H$6:$H$509,'W Program Monthly'!$C$6:$C$509,H$6,'W Program Monthly'!$F$6:$F$509,"Digital")</f>
        <v>0</v>
      </c>
      <c r="I57" s="81" t="n">
        <f aca="false">SUMIFS('W Program Monthly'!$H$6:$H$509,'W Program Monthly'!$C$6:$C$509,I$6,'W Program Monthly'!$F$6:$F$509,"Digital")</f>
        <v>3684.21052631579</v>
      </c>
      <c r="J57" s="81" t="n">
        <f aca="false">SUMIFS('W Program Monthly'!$H$6:$H$509,'W Program Monthly'!$C$6:$C$509,J$6,'W Program Monthly'!$F$6:$F$509,"Digital")</f>
        <v>7368.42105263158</v>
      </c>
      <c r="K57" s="81" t="n">
        <f aca="false">SUMIFS('W Program Monthly'!$H$6:$H$509,'W Program Monthly'!$C$6:$C$509,K$6,'W Program Monthly'!$F$6:$F$509,"Digital")</f>
        <v>11052.6315789474</v>
      </c>
      <c r="L57" s="81" t="n">
        <f aca="false">SUMIFS('W Program Monthly'!$H$6:$H$509,'W Program Monthly'!$C$6:$C$509,L$6,'W Program Monthly'!$F$6:$F$509,"Digital")</f>
        <v>14736.8421052632</v>
      </c>
      <c r="M57" s="81" t="n">
        <f aca="false">SUMIFS('W Program Monthly'!$H$6:$H$509,'W Program Monthly'!$C$6:$C$509,M$6,'W Program Monthly'!$F$6:$F$509,"Digital")</f>
        <v>14736.8421052632</v>
      </c>
      <c r="N57" s="81" t="n">
        <f aca="false">SUMIFS('W Program Monthly'!$H$6:$H$509,'W Program Monthly'!$C$6:$C$509,N$6,'W Program Monthly'!$F$6:$F$509,"Digital")</f>
        <v>14736.8421052632</v>
      </c>
      <c r="O57" s="81" t="n">
        <f aca="false">SUMIFS('W Program Monthly'!$H$6:$H$509,'W Program Monthly'!$C$6:$C$509,O$6,'W Program Monthly'!$F$6:$F$509,"Digital")</f>
        <v>14736.8421052632</v>
      </c>
      <c r="P57" s="81" t="n">
        <f aca="false">SUMIFS('W Program Monthly'!$H$6:$H$509,'W Program Monthly'!$C$6:$C$509,P$6,'W Program Monthly'!$F$6:$F$509,"Digital")</f>
        <v>14736.8421052632</v>
      </c>
      <c r="Q57" s="81" t="n">
        <f aca="false">SUMIFS('W Program Monthly'!$H$6:$H$509,'W Program Monthly'!$C$6:$C$509,Q$6,'W Program Monthly'!$F$6:$F$509,"Digital")</f>
        <v>14736.8421052632</v>
      </c>
      <c r="R57" s="81" t="n">
        <f aca="false">SUMIFS('W Program Monthly'!$H$6:$H$509,'W Program Monthly'!$C$6:$C$509,R$6,'W Program Monthly'!$F$6:$F$509,"Digital")</f>
        <v>14736.8421052632</v>
      </c>
      <c r="S57" s="81" t="n">
        <f aca="false">SUMIFS('W Program Monthly'!$H$6:$H$509,'W Program Monthly'!$C$6:$C$509,S$6,'W Program Monthly'!$F$6:$F$509,"Digital")</f>
        <v>14736.8421052632</v>
      </c>
      <c r="T57" s="81" t="n">
        <f aca="false">SUMIFS('W Program Monthly'!$H$6:$H$509,'W Program Monthly'!$C$6:$C$509,T$6,'W Program Monthly'!$F$6:$F$509,"Digital")</f>
        <v>43750</v>
      </c>
      <c r="U57" s="81" t="n">
        <f aca="false">SUMIFS('W Program Monthly'!$H$6:$H$509,'W Program Monthly'!$C$6:$C$509,U$6,'W Program Monthly'!$F$6:$F$509,"Digital")</f>
        <v>43750</v>
      </c>
      <c r="V57" s="81" t="n">
        <f aca="false">SUMIFS('W Program Monthly'!$H$6:$H$509,'W Program Monthly'!$C$6:$C$509,V$6,'W Program Monthly'!$F$6:$F$509,"Digital")</f>
        <v>43750</v>
      </c>
      <c r="W57" s="81" t="n">
        <f aca="false">SUMIFS('W Program Monthly'!$H$6:$H$509,'W Program Monthly'!$C$6:$C$509,W$6,'W Program Monthly'!$F$6:$F$509,"Digital")</f>
        <v>43750</v>
      </c>
      <c r="X57" s="81" t="n">
        <f aca="false">SUMIFS('W Program Monthly'!$H$6:$H$509,'W Program Monthly'!$C$6:$C$509,X$6,'W Program Monthly'!$F$6:$F$509,"Digital")</f>
        <v>43750</v>
      </c>
      <c r="Y57" s="81" t="n">
        <f aca="false">SUMIFS('W Program Monthly'!$H$6:$H$509,'W Program Monthly'!$C$6:$C$509,Y$6,'W Program Monthly'!$F$6:$F$509,"Digital")</f>
        <v>43750</v>
      </c>
      <c r="Z57" s="81" t="n">
        <f aca="false">SUMIFS('W Program Monthly'!$H$6:$H$509,'W Program Monthly'!$C$6:$C$509,Z$6,'W Program Monthly'!$F$6:$F$509,"Digital")</f>
        <v>43750</v>
      </c>
      <c r="AA57" s="81" t="n">
        <f aca="false">SUMIFS('W Program Monthly'!$H$6:$H$509,'W Program Monthly'!$C$6:$C$509,AA$6,'W Program Monthly'!$F$6:$F$509,"Digital")</f>
        <v>43750</v>
      </c>
      <c r="AB57" s="81" t="n">
        <f aca="false">SUMIFS('W Program Monthly'!$H$6:$H$509,'W Program Monthly'!$C$6:$C$509,AB$6,'W Program Monthly'!$F$6:$F$509,"Digital")</f>
        <v>43750</v>
      </c>
      <c r="AC57" s="81" t="n">
        <f aca="false">SUMIFS('W Program Monthly'!$H$6:$H$509,'W Program Monthly'!$C$6:$C$509,AC$6,'W Program Monthly'!$F$6:$F$509,"Digital")</f>
        <v>43750</v>
      </c>
      <c r="AD57" s="81" t="n">
        <f aca="false">SUMIFS('W Program Monthly'!$H$6:$H$509,'W Program Monthly'!$C$6:$C$509,AD$6,'W Program Monthly'!$F$6:$F$509,"Digital")</f>
        <v>43750</v>
      </c>
      <c r="AE57" s="81" t="n">
        <f aca="false">SUMIFS('W Program Monthly'!$H$6:$H$509,'W Program Monthly'!$C$6:$C$509,AE$6,'W Program Monthly'!$F$6:$F$509,"Digital")</f>
        <v>43750</v>
      </c>
      <c r="AF57" s="81" t="n">
        <f aca="false">SUMIFS('W Program Monthly'!$H$6:$H$509,'W Program Monthly'!$C$6:$C$509,AF$6,'W Program Monthly'!$F$6:$F$509,"Digital")</f>
        <v>125000</v>
      </c>
      <c r="AG57" s="81" t="n">
        <f aca="false">SUMIFS('W Program Monthly'!$H$6:$H$509,'W Program Monthly'!$C$6:$C$509,AG$6,'W Program Monthly'!$F$6:$F$509,"Digital")</f>
        <v>125000</v>
      </c>
      <c r="AH57" s="81" t="n">
        <f aca="false">SUMIFS('W Program Monthly'!$H$6:$H$509,'W Program Monthly'!$C$6:$C$509,AH$6,'W Program Monthly'!$F$6:$F$509,"Digital")</f>
        <v>125000</v>
      </c>
      <c r="AI57" s="81" t="n">
        <f aca="false">SUMIFS('W Program Monthly'!$H$6:$H$509,'W Program Monthly'!$C$6:$C$509,AI$6,'W Program Monthly'!$F$6:$F$509,"Digital")</f>
        <v>125000</v>
      </c>
      <c r="AJ57" s="81" t="n">
        <f aca="false">SUMIFS('W Program Monthly'!$H$6:$H$509,'W Program Monthly'!$C$6:$C$509,AJ$6,'W Program Monthly'!$F$6:$F$509,"Digital")</f>
        <v>125000</v>
      </c>
      <c r="AK57" s="81" t="n">
        <f aca="false">SUMIFS('W Program Monthly'!$H$6:$H$509,'W Program Monthly'!$C$6:$C$509,AK$6,'W Program Monthly'!$F$6:$F$509,"Digital")</f>
        <v>125000</v>
      </c>
      <c r="AL57" s="81" t="n">
        <f aca="false">SUMIFS('W Program Monthly'!$H$6:$H$509,'W Program Monthly'!$C$6:$C$509,AL$6,'W Program Monthly'!$F$6:$F$509,"Digital")</f>
        <v>125000</v>
      </c>
      <c r="AM57" s="81" t="n">
        <f aca="false">SUMIFS('W Program Monthly'!$H$6:$H$509,'W Program Monthly'!$C$6:$C$509,AM$6,'W Program Monthly'!$F$6:$F$509,"Digital")</f>
        <v>125000</v>
      </c>
      <c r="AN57" s="81" t="n">
        <f aca="false">SUMIFS('W Program Monthly'!$H$6:$H$509,'W Program Monthly'!$C$6:$C$509,AN$6,'W Program Monthly'!$F$6:$F$509,"Digital")</f>
        <v>125000</v>
      </c>
      <c r="AO57" s="81" t="n">
        <f aca="false">SUMIFS('W Program Monthly'!$H$6:$H$509,'W Program Monthly'!$C$6:$C$509,AO$6,'W Program Monthly'!$F$6:$F$509,"Digital")</f>
        <v>125000</v>
      </c>
      <c r="AP57" s="81" t="n">
        <f aca="false">SUMIFS('W Program Monthly'!$H$6:$H$509,'W Program Monthly'!$C$6:$C$509,AP$6,'W Program Monthly'!$F$6:$F$509,"Digital")</f>
        <v>125000</v>
      </c>
      <c r="AQ57" s="81" t="n">
        <f aca="false">SUMIFS('W Program Monthly'!$H$6:$H$509,'W Program Monthly'!$C$6:$C$509,AQ$6,'W Program Monthly'!$F$6:$F$509,"Digital")</f>
        <v>125000</v>
      </c>
    </row>
    <row r="58" customFormat="false" ht="24" hidden="false" customHeight="true" outlineLevel="0" collapsed="false">
      <c r="C58" s="74" t="s">
        <v>803</v>
      </c>
      <c r="D58" s="109" t="n">
        <f aca="false">SUM(H58:S58)</f>
        <v>288000</v>
      </c>
      <c r="E58" s="109" t="n">
        <f aca="false">SUM(T58:AE58)</f>
        <v>1000000</v>
      </c>
      <c r="F58" s="109" t="n">
        <f aca="false">SUM(AF58:AQ58)</f>
        <v>2340000</v>
      </c>
      <c r="G58" s="79"/>
      <c r="H58" s="81" t="n">
        <f aca="false">SUMIFS('W Program Monthly'!$H$6:$H$509,'W Program Monthly'!$C$6:$C$509,H$6,'W Program Monthly'!$F$6:$F$509,"Retail")</f>
        <v>0</v>
      </c>
      <c r="I58" s="81" t="n">
        <f aca="false">SUMIFS('W Program Monthly'!$H$6:$H$509,'W Program Monthly'!$C$6:$C$509,I$6,'W Program Monthly'!$F$6:$F$509,"Retail")</f>
        <v>7578.94736842105</v>
      </c>
      <c r="J58" s="81" t="n">
        <f aca="false">SUMIFS('W Program Monthly'!$H$6:$H$509,'W Program Monthly'!$C$6:$C$509,J$6,'W Program Monthly'!$F$6:$F$509,"Retail")</f>
        <v>15157.8947368421</v>
      </c>
      <c r="K58" s="81" t="n">
        <f aca="false">SUMIFS('W Program Monthly'!$H$6:$H$509,'W Program Monthly'!$C$6:$C$509,K$6,'W Program Monthly'!$F$6:$F$509,"Retail")</f>
        <v>22736.8421052632</v>
      </c>
      <c r="L58" s="81" t="n">
        <f aca="false">SUMIFS('W Program Monthly'!$H$6:$H$509,'W Program Monthly'!$C$6:$C$509,L$6,'W Program Monthly'!$F$6:$F$509,"Retail")</f>
        <v>30315.7894736842</v>
      </c>
      <c r="M58" s="81" t="n">
        <f aca="false">SUMIFS('W Program Monthly'!$H$6:$H$509,'W Program Monthly'!$C$6:$C$509,M$6,'W Program Monthly'!$F$6:$F$509,"Retail")</f>
        <v>30315.7894736842</v>
      </c>
      <c r="N58" s="81" t="n">
        <f aca="false">SUMIFS('W Program Monthly'!$H$6:$H$509,'W Program Monthly'!$C$6:$C$509,N$6,'W Program Monthly'!$F$6:$F$509,"Retail")</f>
        <v>30315.7894736842</v>
      </c>
      <c r="O58" s="81" t="n">
        <f aca="false">SUMIFS('W Program Monthly'!$H$6:$H$509,'W Program Monthly'!$C$6:$C$509,O$6,'W Program Monthly'!$F$6:$F$509,"Retail")</f>
        <v>30315.7894736842</v>
      </c>
      <c r="P58" s="81" t="n">
        <f aca="false">SUMIFS('W Program Monthly'!$H$6:$H$509,'W Program Monthly'!$C$6:$C$509,P$6,'W Program Monthly'!$F$6:$F$509,"Retail")</f>
        <v>30315.7894736842</v>
      </c>
      <c r="Q58" s="81" t="n">
        <f aca="false">SUMIFS('W Program Monthly'!$H$6:$H$509,'W Program Monthly'!$C$6:$C$509,Q$6,'W Program Monthly'!$F$6:$F$509,"Retail")</f>
        <v>30315.7894736842</v>
      </c>
      <c r="R58" s="81" t="n">
        <f aca="false">SUMIFS('W Program Monthly'!$H$6:$H$509,'W Program Monthly'!$C$6:$C$509,R$6,'W Program Monthly'!$F$6:$F$509,"Retail")</f>
        <v>30315.7894736842</v>
      </c>
      <c r="S58" s="81" t="n">
        <f aca="false">SUMIFS('W Program Monthly'!$H$6:$H$509,'W Program Monthly'!$C$6:$C$509,S$6,'W Program Monthly'!$F$6:$F$509,"Retail")</f>
        <v>30315.7894736842</v>
      </c>
      <c r="T58" s="81" t="n">
        <f aca="false">SUMIFS('W Program Monthly'!$H$6:$H$509,'W Program Monthly'!$C$6:$C$509,T$6,'W Program Monthly'!$F$6:$F$509,"Retail")</f>
        <v>83333.3333333333</v>
      </c>
      <c r="U58" s="81" t="n">
        <f aca="false">SUMIFS('W Program Monthly'!$H$6:$H$509,'W Program Monthly'!$C$6:$C$509,U$6,'W Program Monthly'!$F$6:$F$509,"Retail")</f>
        <v>83333.3333333333</v>
      </c>
      <c r="V58" s="81" t="n">
        <f aca="false">SUMIFS('W Program Monthly'!$H$6:$H$509,'W Program Monthly'!$C$6:$C$509,V$6,'W Program Monthly'!$F$6:$F$509,"Retail")</f>
        <v>83333.3333333333</v>
      </c>
      <c r="W58" s="81" t="n">
        <f aca="false">SUMIFS('W Program Monthly'!$H$6:$H$509,'W Program Monthly'!$C$6:$C$509,W$6,'W Program Monthly'!$F$6:$F$509,"Retail")</f>
        <v>83333.3333333333</v>
      </c>
      <c r="X58" s="81" t="n">
        <f aca="false">SUMIFS('W Program Monthly'!$H$6:$H$509,'W Program Monthly'!$C$6:$C$509,X$6,'W Program Monthly'!$F$6:$F$509,"Retail")</f>
        <v>83333.3333333333</v>
      </c>
      <c r="Y58" s="81" t="n">
        <f aca="false">SUMIFS('W Program Monthly'!$H$6:$H$509,'W Program Monthly'!$C$6:$C$509,Y$6,'W Program Monthly'!$F$6:$F$509,"Retail")</f>
        <v>83333.3333333333</v>
      </c>
      <c r="Z58" s="81" t="n">
        <f aca="false">SUMIFS('W Program Monthly'!$H$6:$H$509,'W Program Monthly'!$C$6:$C$509,Z$6,'W Program Monthly'!$F$6:$F$509,"Retail")</f>
        <v>83333.3333333333</v>
      </c>
      <c r="AA58" s="81" t="n">
        <f aca="false">SUMIFS('W Program Monthly'!$H$6:$H$509,'W Program Monthly'!$C$6:$C$509,AA$6,'W Program Monthly'!$F$6:$F$509,"Retail")</f>
        <v>83333.3333333333</v>
      </c>
      <c r="AB58" s="81" t="n">
        <f aca="false">SUMIFS('W Program Monthly'!$H$6:$H$509,'W Program Monthly'!$C$6:$C$509,AB$6,'W Program Monthly'!$F$6:$F$509,"Retail")</f>
        <v>83333.3333333333</v>
      </c>
      <c r="AC58" s="81" t="n">
        <f aca="false">SUMIFS('W Program Monthly'!$H$6:$H$509,'W Program Monthly'!$C$6:$C$509,AC$6,'W Program Monthly'!$F$6:$F$509,"Retail")</f>
        <v>83333.3333333333</v>
      </c>
      <c r="AD58" s="81" t="n">
        <f aca="false">SUMIFS('W Program Monthly'!$H$6:$H$509,'W Program Monthly'!$C$6:$C$509,AD$6,'W Program Monthly'!$F$6:$F$509,"Retail")</f>
        <v>83333.3333333333</v>
      </c>
      <c r="AE58" s="81" t="n">
        <f aca="false">SUMIFS('W Program Monthly'!$H$6:$H$509,'W Program Monthly'!$C$6:$C$509,AE$6,'W Program Monthly'!$F$6:$F$509,"Retail")</f>
        <v>83333.3333333333</v>
      </c>
      <c r="AF58" s="81" t="n">
        <f aca="false">SUMIFS('W Program Monthly'!$H$6:$H$509,'W Program Monthly'!$C$6:$C$509,AF$6,'W Program Monthly'!$F$6:$F$509,"Retail")</f>
        <v>195000</v>
      </c>
      <c r="AG58" s="81" t="n">
        <f aca="false">SUMIFS('W Program Monthly'!$H$6:$H$509,'W Program Monthly'!$C$6:$C$509,AG$6,'W Program Monthly'!$F$6:$F$509,"Retail")</f>
        <v>195000</v>
      </c>
      <c r="AH58" s="81" t="n">
        <f aca="false">SUMIFS('W Program Monthly'!$H$6:$H$509,'W Program Monthly'!$C$6:$C$509,AH$6,'W Program Monthly'!$F$6:$F$509,"Retail")</f>
        <v>195000</v>
      </c>
      <c r="AI58" s="81" t="n">
        <f aca="false">SUMIFS('W Program Monthly'!$H$6:$H$509,'W Program Monthly'!$C$6:$C$509,AI$6,'W Program Monthly'!$F$6:$F$509,"Retail")</f>
        <v>195000</v>
      </c>
      <c r="AJ58" s="81" t="n">
        <f aca="false">SUMIFS('W Program Monthly'!$H$6:$H$509,'W Program Monthly'!$C$6:$C$509,AJ$6,'W Program Monthly'!$F$6:$F$509,"Retail")</f>
        <v>195000</v>
      </c>
      <c r="AK58" s="81" t="n">
        <f aca="false">SUMIFS('W Program Monthly'!$H$6:$H$509,'W Program Monthly'!$C$6:$C$509,AK$6,'W Program Monthly'!$F$6:$F$509,"Retail")</f>
        <v>195000</v>
      </c>
      <c r="AL58" s="81" t="n">
        <f aca="false">SUMIFS('W Program Monthly'!$H$6:$H$509,'W Program Monthly'!$C$6:$C$509,AL$6,'W Program Monthly'!$F$6:$F$509,"Retail")</f>
        <v>195000</v>
      </c>
      <c r="AM58" s="81" t="n">
        <f aca="false">SUMIFS('W Program Monthly'!$H$6:$H$509,'W Program Monthly'!$C$6:$C$509,AM$6,'W Program Monthly'!$F$6:$F$509,"Retail")</f>
        <v>195000</v>
      </c>
      <c r="AN58" s="81" t="n">
        <f aca="false">SUMIFS('W Program Monthly'!$H$6:$H$509,'W Program Monthly'!$C$6:$C$509,AN$6,'W Program Monthly'!$F$6:$F$509,"Retail")</f>
        <v>195000</v>
      </c>
      <c r="AO58" s="81" t="n">
        <f aca="false">SUMIFS('W Program Monthly'!$H$6:$H$509,'W Program Monthly'!$C$6:$C$509,AO$6,'W Program Monthly'!$F$6:$F$509,"Retail")</f>
        <v>195000</v>
      </c>
      <c r="AP58" s="81" t="n">
        <f aca="false">SUMIFS('W Program Monthly'!$H$6:$H$509,'W Program Monthly'!$C$6:$C$509,AP$6,'W Program Monthly'!$F$6:$F$509,"Retail")</f>
        <v>195000</v>
      </c>
      <c r="AQ58" s="81" t="n">
        <f aca="false">SUMIFS('W Program Monthly'!$H$6:$H$509,'W Program Monthly'!$C$6:$C$509,AQ$6,'W Program Monthly'!$F$6:$F$509,"Retail")</f>
        <v>195000</v>
      </c>
    </row>
    <row r="59" customFormat="false" ht="24" hidden="false" customHeight="true" outlineLevel="0" collapsed="false">
      <c r="C59" s="74" t="s">
        <v>804</v>
      </c>
      <c r="D59" s="109" t="n">
        <f aca="false">SUM(H59:S59)</f>
        <v>100000</v>
      </c>
      <c r="E59" s="109" t="n">
        <f aca="false">SUM(T59:AE59)</f>
        <v>300000</v>
      </c>
      <c r="F59" s="109" t="n">
        <f aca="false">SUM(AF59:AQ59)</f>
        <v>800000</v>
      </c>
      <c r="G59" s="79"/>
      <c r="H59" s="81" t="n">
        <f aca="false">SUMIFS('W Program Monthly'!$H$6:$H$509,'W Program Monthly'!$C$6:$C$509,H$6,'W Program Monthly'!$F$6:$F$509,"Licensing")</f>
        <v>0</v>
      </c>
      <c r="I59" s="81" t="n">
        <f aca="false">SUMIFS('W Program Monthly'!$H$6:$H$509,'W Program Monthly'!$C$6:$C$509,I$6,'W Program Monthly'!$F$6:$F$509,"Licensing")</f>
        <v>2631.57894736842</v>
      </c>
      <c r="J59" s="81" t="n">
        <f aca="false">SUMIFS('W Program Monthly'!$H$6:$H$509,'W Program Monthly'!$C$6:$C$509,J$6,'W Program Monthly'!$F$6:$F$509,"Licensing")</f>
        <v>5263.15789473684</v>
      </c>
      <c r="K59" s="81" t="n">
        <f aca="false">SUMIFS('W Program Monthly'!$H$6:$H$509,'W Program Monthly'!$C$6:$C$509,K$6,'W Program Monthly'!$F$6:$F$509,"Licensing")</f>
        <v>7894.73684210526</v>
      </c>
      <c r="L59" s="81" t="n">
        <f aca="false">SUMIFS('W Program Monthly'!$H$6:$H$509,'W Program Monthly'!$C$6:$C$509,L$6,'W Program Monthly'!$F$6:$F$509,"Licensing")</f>
        <v>10526.3157894737</v>
      </c>
      <c r="M59" s="81" t="n">
        <f aca="false">SUMIFS('W Program Monthly'!$H$6:$H$509,'W Program Monthly'!$C$6:$C$509,M$6,'W Program Monthly'!$F$6:$F$509,"Licensing")</f>
        <v>10526.3157894737</v>
      </c>
      <c r="N59" s="81" t="n">
        <f aca="false">SUMIFS('W Program Monthly'!$H$6:$H$509,'W Program Monthly'!$C$6:$C$509,N$6,'W Program Monthly'!$F$6:$F$509,"Licensing")</f>
        <v>10526.3157894737</v>
      </c>
      <c r="O59" s="81" t="n">
        <f aca="false">SUMIFS('W Program Monthly'!$H$6:$H$509,'W Program Monthly'!$C$6:$C$509,O$6,'W Program Monthly'!$F$6:$F$509,"Licensing")</f>
        <v>10526.3157894737</v>
      </c>
      <c r="P59" s="81" t="n">
        <f aca="false">SUMIFS('W Program Monthly'!$H$6:$H$509,'W Program Monthly'!$C$6:$C$509,P$6,'W Program Monthly'!$F$6:$F$509,"Licensing")</f>
        <v>10526.3157894737</v>
      </c>
      <c r="Q59" s="81" t="n">
        <f aca="false">SUMIFS('W Program Monthly'!$H$6:$H$509,'W Program Monthly'!$C$6:$C$509,Q$6,'W Program Monthly'!$F$6:$F$509,"Licensing")</f>
        <v>10526.3157894737</v>
      </c>
      <c r="R59" s="81" t="n">
        <f aca="false">SUMIFS('W Program Monthly'!$H$6:$H$509,'W Program Monthly'!$C$6:$C$509,R$6,'W Program Monthly'!$F$6:$F$509,"Licensing")</f>
        <v>10526.3157894737</v>
      </c>
      <c r="S59" s="81" t="n">
        <f aca="false">SUMIFS('W Program Monthly'!$H$6:$H$509,'W Program Monthly'!$C$6:$C$509,S$6,'W Program Monthly'!$F$6:$F$509,"Licensing")</f>
        <v>10526.3157894737</v>
      </c>
      <c r="T59" s="81" t="n">
        <f aca="false">SUMIFS('W Program Monthly'!$H$6:$H$509,'W Program Monthly'!$C$6:$C$509,T$6,'W Program Monthly'!$F$6:$F$509,"Licensing")</f>
        <v>25000</v>
      </c>
      <c r="U59" s="81" t="n">
        <f aca="false">SUMIFS('W Program Monthly'!$H$6:$H$509,'W Program Monthly'!$C$6:$C$509,U$6,'W Program Monthly'!$F$6:$F$509,"Licensing")</f>
        <v>25000</v>
      </c>
      <c r="V59" s="81" t="n">
        <f aca="false">SUMIFS('W Program Monthly'!$H$6:$H$509,'W Program Monthly'!$C$6:$C$509,V$6,'W Program Monthly'!$F$6:$F$509,"Licensing")</f>
        <v>25000</v>
      </c>
      <c r="W59" s="81" t="n">
        <f aca="false">SUMIFS('W Program Monthly'!$H$6:$H$509,'W Program Monthly'!$C$6:$C$509,W$6,'W Program Monthly'!$F$6:$F$509,"Licensing")</f>
        <v>25000</v>
      </c>
      <c r="X59" s="81" t="n">
        <f aca="false">SUMIFS('W Program Monthly'!$H$6:$H$509,'W Program Monthly'!$C$6:$C$509,X$6,'W Program Monthly'!$F$6:$F$509,"Licensing")</f>
        <v>25000</v>
      </c>
      <c r="Y59" s="81" t="n">
        <f aca="false">SUMIFS('W Program Monthly'!$H$6:$H$509,'W Program Monthly'!$C$6:$C$509,Y$6,'W Program Monthly'!$F$6:$F$509,"Licensing")</f>
        <v>25000</v>
      </c>
      <c r="Z59" s="81" t="n">
        <f aca="false">SUMIFS('W Program Monthly'!$H$6:$H$509,'W Program Monthly'!$C$6:$C$509,Z$6,'W Program Monthly'!$F$6:$F$509,"Licensing")</f>
        <v>25000</v>
      </c>
      <c r="AA59" s="81" t="n">
        <f aca="false">SUMIFS('W Program Monthly'!$H$6:$H$509,'W Program Monthly'!$C$6:$C$509,AA$6,'W Program Monthly'!$F$6:$F$509,"Licensing")</f>
        <v>25000</v>
      </c>
      <c r="AB59" s="81" t="n">
        <f aca="false">SUMIFS('W Program Monthly'!$H$6:$H$509,'W Program Monthly'!$C$6:$C$509,AB$6,'W Program Monthly'!$F$6:$F$509,"Licensing")</f>
        <v>25000</v>
      </c>
      <c r="AC59" s="81" t="n">
        <f aca="false">SUMIFS('W Program Monthly'!$H$6:$H$509,'W Program Monthly'!$C$6:$C$509,AC$6,'W Program Monthly'!$F$6:$F$509,"Licensing")</f>
        <v>25000</v>
      </c>
      <c r="AD59" s="81" t="n">
        <f aca="false">SUMIFS('W Program Monthly'!$H$6:$H$509,'W Program Monthly'!$C$6:$C$509,AD$6,'W Program Monthly'!$F$6:$F$509,"Licensing")</f>
        <v>25000</v>
      </c>
      <c r="AE59" s="81" t="n">
        <f aca="false">SUMIFS('W Program Monthly'!$H$6:$H$509,'W Program Monthly'!$C$6:$C$509,AE$6,'W Program Monthly'!$F$6:$F$509,"Licensing")</f>
        <v>25000</v>
      </c>
      <c r="AF59" s="81" t="n">
        <f aca="false">SUMIFS('W Program Monthly'!$H$6:$H$509,'W Program Monthly'!$C$6:$C$509,AF$6,'W Program Monthly'!$F$6:$F$509,"Licensing")</f>
        <v>66666.6666666667</v>
      </c>
      <c r="AG59" s="81" t="n">
        <f aca="false">SUMIFS('W Program Monthly'!$H$6:$H$509,'W Program Monthly'!$C$6:$C$509,AG$6,'W Program Monthly'!$F$6:$F$509,"Licensing")</f>
        <v>66666.6666666667</v>
      </c>
      <c r="AH59" s="81" t="n">
        <f aca="false">SUMIFS('W Program Monthly'!$H$6:$H$509,'W Program Monthly'!$C$6:$C$509,AH$6,'W Program Monthly'!$F$6:$F$509,"Licensing")</f>
        <v>66666.6666666667</v>
      </c>
      <c r="AI59" s="81" t="n">
        <f aca="false">SUMIFS('W Program Monthly'!$H$6:$H$509,'W Program Monthly'!$C$6:$C$509,AI$6,'W Program Monthly'!$F$6:$F$509,"Licensing")</f>
        <v>66666.6666666667</v>
      </c>
      <c r="AJ59" s="81" t="n">
        <f aca="false">SUMIFS('W Program Monthly'!$H$6:$H$509,'W Program Monthly'!$C$6:$C$509,AJ$6,'W Program Monthly'!$F$6:$F$509,"Licensing")</f>
        <v>66666.6666666667</v>
      </c>
      <c r="AK59" s="81" t="n">
        <f aca="false">SUMIFS('W Program Monthly'!$H$6:$H$509,'W Program Monthly'!$C$6:$C$509,AK$6,'W Program Monthly'!$F$6:$F$509,"Licensing")</f>
        <v>66666.6666666667</v>
      </c>
      <c r="AL59" s="81" t="n">
        <f aca="false">SUMIFS('W Program Monthly'!$H$6:$H$509,'W Program Monthly'!$C$6:$C$509,AL$6,'W Program Monthly'!$F$6:$F$509,"Licensing")</f>
        <v>66666.6666666667</v>
      </c>
      <c r="AM59" s="81" t="n">
        <f aca="false">SUMIFS('W Program Monthly'!$H$6:$H$509,'W Program Monthly'!$C$6:$C$509,AM$6,'W Program Monthly'!$F$6:$F$509,"Licensing")</f>
        <v>66666.6666666667</v>
      </c>
      <c r="AN59" s="81" t="n">
        <f aca="false">SUMIFS('W Program Monthly'!$H$6:$H$509,'W Program Monthly'!$C$6:$C$509,AN$6,'W Program Monthly'!$F$6:$F$509,"Licensing")</f>
        <v>66666.6666666667</v>
      </c>
      <c r="AO59" s="81" t="n">
        <f aca="false">SUMIFS('W Program Monthly'!$H$6:$H$509,'W Program Monthly'!$C$6:$C$509,AO$6,'W Program Monthly'!$F$6:$F$509,"Licensing")</f>
        <v>66666.6666666667</v>
      </c>
      <c r="AP59" s="81" t="n">
        <f aca="false">SUMIFS('W Program Monthly'!$H$6:$H$509,'W Program Monthly'!$C$6:$C$509,AP$6,'W Program Monthly'!$F$6:$F$509,"Licensing")</f>
        <v>66666.6666666667</v>
      </c>
      <c r="AQ59" s="81" t="n">
        <f aca="false">SUMIFS('W Program Monthly'!$H$6:$H$509,'W Program Monthly'!$C$6:$C$509,AQ$6,'W Program Monthly'!$F$6:$F$509,"Licensing")</f>
        <v>66666.6666666667</v>
      </c>
    </row>
    <row r="60" customFormat="false" ht="24" hidden="false" customHeight="true" outlineLevel="0" collapsed="false">
      <c r="C60" s="86" t="s">
        <v>805</v>
      </c>
      <c r="D60" s="94" t="n">
        <f aca="false">SUM(D53:D59)</f>
        <v>2498000</v>
      </c>
      <c r="E60" s="94" t="n">
        <f aca="false">SUM(E53:E59)</f>
        <v>7255000</v>
      </c>
      <c r="F60" s="94" t="n">
        <f aca="false">SUM(F53:F59)</f>
        <v>15020000</v>
      </c>
      <c r="G60" s="110"/>
      <c r="H60" s="94" t="n">
        <f aca="false">SUM(H53:H59)</f>
        <v>0</v>
      </c>
      <c r="I60" s="94" t="n">
        <f aca="false">SUM(I53:I59)</f>
        <v>65736.8421052632</v>
      </c>
      <c r="J60" s="94" t="n">
        <f aca="false">SUM(J53:J59)</f>
        <v>131473.684210526</v>
      </c>
      <c r="K60" s="94" t="n">
        <f aca="false">SUM(K53:K59)</f>
        <v>197210.526315789</v>
      </c>
      <c r="L60" s="94" t="n">
        <f aca="false">SUM(L53:L59)</f>
        <v>262947.368421053</v>
      </c>
      <c r="M60" s="94" t="n">
        <f aca="false">SUM(M53:M59)</f>
        <v>262947.368421053</v>
      </c>
      <c r="N60" s="94" t="n">
        <f aca="false">SUM(N53:N59)</f>
        <v>262947.368421053</v>
      </c>
      <c r="O60" s="94" t="n">
        <f aca="false">SUM(O53:O59)</f>
        <v>262947.368421053</v>
      </c>
      <c r="P60" s="94" t="n">
        <f aca="false">SUM(P53:P59)</f>
        <v>262947.368421053</v>
      </c>
      <c r="Q60" s="94" t="n">
        <f aca="false">SUM(Q53:Q59)</f>
        <v>262947.368421053</v>
      </c>
      <c r="R60" s="94" t="n">
        <f aca="false">SUM(R53:R59)</f>
        <v>262947.368421053</v>
      </c>
      <c r="S60" s="94" t="n">
        <f aca="false">SUM(S53:S59)</f>
        <v>262947.368421053</v>
      </c>
      <c r="T60" s="94" t="n">
        <f aca="false">SUM(T53:T59)</f>
        <v>604583.333333333</v>
      </c>
      <c r="U60" s="94" t="n">
        <f aca="false">SUM(U53:U59)</f>
        <v>604583.333333333</v>
      </c>
      <c r="V60" s="94" t="n">
        <f aca="false">SUM(V53:V59)</f>
        <v>604583.333333333</v>
      </c>
      <c r="W60" s="94" t="n">
        <f aca="false">SUM(W53:W59)</f>
        <v>604583.333333333</v>
      </c>
      <c r="X60" s="94" t="n">
        <f aca="false">SUM(X53:X59)</f>
        <v>604583.333333333</v>
      </c>
      <c r="Y60" s="94" t="n">
        <f aca="false">SUM(Y53:Y59)</f>
        <v>604583.333333333</v>
      </c>
      <c r="Z60" s="94" t="n">
        <f aca="false">SUM(Z53:Z59)</f>
        <v>604583.333333333</v>
      </c>
      <c r="AA60" s="94" t="n">
        <f aca="false">SUM(AA53:AA59)</f>
        <v>604583.333333333</v>
      </c>
      <c r="AB60" s="94" t="n">
        <f aca="false">SUM(AB53:AB59)</f>
        <v>604583.333333333</v>
      </c>
      <c r="AC60" s="94" t="n">
        <f aca="false">SUM(AC53:AC59)</f>
        <v>604583.333333333</v>
      </c>
      <c r="AD60" s="94" t="n">
        <f aca="false">SUM(AD53:AD59)</f>
        <v>604583.333333333</v>
      </c>
      <c r="AE60" s="94" t="n">
        <f aca="false">SUM(AE53:AE59)</f>
        <v>604583.333333333</v>
      </c>
      <c r="AF60" s="94" t="n">
        <f aca="false">SUM(AF53:AF59)</f>
        <v>1251666.66666667</v>
      </c>
      <c r="AG60" s="94" t="n">
        <f aca="false">SUM(AG53:AG59)</f>
        <v>1251666.66666667</v>
      </c>
      <c r="AH60" s="94" t="n">
        <f aca="false">SUM(AH53:AH59)</f>
        <v>1251666.66666667</v>
      </c>
      <c r="AI60" s="94" t="n">
        <f aca="false">SUM(AI53:AI59)</f>
        <v>1251666.66666667</v>
      </c>
      <c r="AJ60" s="94" t="n">
        <f aca="false">SUM(AJ53:AJ59)</f>
        <v>1251666.66666667</v>
      </c>
      <c r="AK60" s="94" t="n">
        <f aca="false">SUM(AK53:AK59)</f>
        <v>1251666.66666667</v>
      </c>
      <c r="AL60" s="94" t="n">
        <f aca="false">SUM(AL53:AL59)</f>
        <v>1251666.66666667</v>
      </c>
      <c r="AM60" s="94" t="n">
        <f aca="false">SUM(AM53:AM59)</f>
        <v>1251666.66666667</v>
      </c>
      <c r="AN60" s="94" t="n">
        <f aca="false">SUM(AN53:AN59)</f>
        <v>1251666.66666667</v>
      </c>
      <c r="AO60" s="94" t="n">
        <f aca="false">SUM(AO53:AO59)</f>
        <v>1251666.66666667</v>
      </c>
      <c r="AP60" s="94" t="n">
        <f aca="false">SUM(AP53:AP59)</f>
        <v>1251666.66666667</v>
      </c>
      <c r="AQ60" s="94" t="n">
        <f aca="false">SUM(AQ53:AQ59)</f>
        <v>1251666.66666667</v>
      </c>
    </row>
    <row r="61" customFormat="false" ht="24" hidden="false" customHeight="true" outlineLevel="0" collapsed="false"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</row>
    <row r="63" customFormat="false" ht="39.75" hidden="false" customHeight="true" outlineLevel="0" collapsed="false">
      <c r="C63" s="97" t="s">
        <v>806</v>
      </c>
      <c r="D63" s="97" t="s">
        <v>715</v>
      </c>
      <c r="E63" s="97" t="s">
        <v>716</v>
      </c>
      <c r="F63" s="97" t="s">
        <v>717</v>
      </c>
    </row>
    <row r="64" customFormat="false" ht="28.5" hidden="false" customHeight="true" outlineLevel="0" collapsed="false">
      <c r="C64" s="116" t="s">
        <v>807</v>
      </c>
      <c r="D64" s="117" t="n">
        <f aca="false">SUM(H64:S64)</f>
        <v>3715346.18562123</v>
      </c>
      <c r="E64" s="117" t="n">
        <f aca="false">SUM(T64:AE64)</f>
        <v>6601996.29843479</v>
      </c>
      <c r="F64" s="117" t="n">
        <f aca="false">SUM(AF64:AQ64)</f>
        <v>7601157.56205885</v>
      </c>
      <c r="G64" s="118"/>
      <c r="H64" s="119" t="n">
        <f aca="false">H20-SUM('W Fees &amp; KPI'!J6,'W Fees &amp; KPI'!M6,'W Fees &amp; KPI'!Q6)</f>
        <v>-19328.8888888888</v>
      </c>
      <c r="I64" s="119" t="n">
        <f aca="false">I20-SUM('W Fees &amp; KPI'!J7,'W Fees &amp; KPI'!M7,'W Fees &amp; KPI'!Q7)</f>
        <v>147363.44341281</v>
      </c>
      <c r="J64" s="119" t="n">
        <f aca="false">J20-SUM('W Fees &amp; KPI'!J8,'W Fees &amp; KPI'!M8,'W Fees &amp; KPI'!Q8)</f>
        <v>68797.1055072464</v>
      </c>
      <c r="K64" s="119" t="n">
        <f aca="false">K20-SUM('W Fees &amp; KPI'!J9,'W Fees &amp; KPI'!M9,'W Fees &amp; KPI'!Q9)</f>
        <v>411751.786666667</v>
      </c>
      <c r="L64" s="119" t="n">
        <f aca="false">L20-SUM('W Fees &amp; KPI'!J10,'W Fees &amp; KPI'!M10,'W Fees &amp; KPI'!Q10)</f>
        <v>260039.19057971</v>
      </c>
      <c r="M64" s="119" t="n">
        <f aca="false">M20-SUM('W Fees &amp; KPI'!J11,'W Fees &amp; KPI'!M11,'W Fees &amp; KPI'!Q11)</f>
        <v>231675.524430642</v>
      </c>
      <c r="N64" s="119" t="n">
        <f aca="false">N20-SUM('W Fees &amp; KPI'!J12,'W Fees &amp; KPI'!M12,'W Fees &amp; KPI'!Q12)</f>
        <v>517947.214492754</v>
      </c>
      <c r="O64" s="119" t="n">
        <f aca="false">O20-SUM('W Fees &amp; KPI'!J13,'W Fees &amp; KPI'!M13,'W Fees &amp; KPI'!Q13)</f>
        <v>513524.46884058</v>
      </c>
      <c r="P64" s="119" t="n">
        <f aca="false">P20-SUM('W Fees &amp; KPI'!J14,'W Fees &amp; KPI'!M14,'W Fees &amp; KPI'!Q14)</f>
        <v>333788.144927536</v>
      </c>
      <c r="Q64" s="119" t="n">
        <f aca="false">Q20-SUM('W Fees &amp; KPI'!J15,'W Fees &amp; KPI'!M15,'W Fees &amp; KPI'!Q15)</f>
        <v>348955.349275362</v>
      </c>
      <c r="R64" s="119" t="n">
        <f aca="false">R20-SUM('W Fees &amp; KPI'!J16,'W Fees &amp; KPI'!M16,'W Fees &amp; KPI'!Q16)</f>
        <v>443594.349275362</v>
      </c>
      <c r="S64" s="119" t="n">
        <f aca="false">S20-SUM('W Fees &amp; KPI'!J17,'W Fees &amp; KPI'!M17,'W Fees &amp; KPI'!Q17)</f>
        <v>457238.497101449</v>
      </c>
      <c r="T64" s="119" t="n">
        <f aca="false">T20-SUM('W Fees &amp; KPI'!J18,'W Fees &amp; KPI'!M18,'W Fees &amp; KPI'!Q18)</f>
        <v>414092.791536232</v>
      </c>
      <c r="U64" s="119" t="n">
        <f aca="false">U20-SUM('W Fees &amp; KPI'!J19,'W Fees &amp; KPI'!M19,'W Fees &amp; KPI'!Q19)</f>
        <v>601860.16402971</v>
      </c>
      <c r="V64" s="119" t="n">
        <f aca="false">V20-SUM('W Fees &amp; KPI'!J20,'W Fees &amp; KPI'!M20,'W Fees &amp; KPI'!Q20)</f>
        <v>538834.186523189</v>
      </c>
      <c r="W64" s="119" t="n">
        <f aca="false">W20-SUM('W Fees &amp; KPI'!J21,'W Fees &amp; KPI'!M21,'W Fees &amp; KPI'!Q21)</f>
        <v>877077.569016667</v>
      </c>
      <c r="X64" s="119" t="n">
        <f aca="false">X20-SUM('W Fees &amp; KPI'!J22,'W Fees &amp; KPI'!M22,'W Fees &amp; KPI'!Q22)</f>
        <v>601860.16402971</v>
      </c>
      <c r="Y64" s="119" t="n">
        <f aca="false">Y20-SUM('W Fees &amp; KPI'!J23,'W Fees &amp; KPI'!M23,'W Fees &amp; KPI'!Q23)</f>
        <v>414092.791536232</v>
      </c>
      <c r="Z64" s="119" t="n">
        <f aca="false">Z20-SUM('W Fees &amp; KPI'!J24,'W Fees &amp; KPI'!M24,'W Fees &amp; KPI'!Q24)</f>
        <v>646102.866523189</v>
      </c>
      <c r="AA64" s="119" t="n">
        <f aca="false">AA20-SUM('W Fees &amp; KPI'!J25,'W Fees &amp; KPI'!M25,'W Fees &amp; KPI'!Q25)</f>
        <v>608811.50402971</v>
      </c>
      <c r="AB64" s="119" t="n">
        <f aca="false">AB20-SUM('W Fees &amp; KPI'!J26,'W Fees &amp; KPI'!M26,'W Fees &amp; KPI'!Q26)</f>
        <v>414092.791536232</v>
      </c>
      <c r="AC64" s="119" t="n">
        <f aca="false">AC20-SUM('W Fees &amp; KPI'!J27,'W Fees &amp; KPI'!M27,'W Fees &amp; KPI'!Q27)</f>
        <v>422354.691562319</v>
      </c>
      <c r="AD64" s="119" t="n">
        <f aca="false">AD20-SUM('W Fees &amp; KPI'!J28,'W Fees &amp; KPI'!M28,'W Fees &amp; KPI'!Q28)</f>
        <v>522672.031562319</v>
      </c>
      <c r="AE64" s="119" t="n">
        <f aca="false">AE20-SUM('W Fees &amp; KPI'!J29,'W Fees &amp; KPI'!M29,'W Fees &amp; KPI'!Q29)</f>
        <v>540144.746549276</v>
      </c>
      <c r="AF64" s="119" t="n">
        <f aca="false">AF20-SUM('W Fees &amp; KPI'!J30,'W Fees &amp; KPI'!M30,'W Fees &amp; KPI'!Q30)</f>
        <v>488569.376171571</v>
      </c>
      <c r="AG64" s="119" t="n">
        <f aca="false">AG20-SUM('W Fees &amp; KPI'!J31,'W Fees &amp; KPI'!M31,'W Fees &amp; KPI'!Q31)</f>
        <v>689556.858409316</v>
      </c>
      <c r="AH64" s="119" t="n">
        <f aca="false">AH20-SUM('W Fees &amp; KPI'!J32,'W Fees &amp; KPI'!M32,'W Fees &amp; KPI'!Q32)</f>
        <v>624703.389647062</v>
      </c>
      <c r="AI64" s="119" t="n">
        <f aca="false">AI20-SUM('W Fees &amp; KPI'!J33,'W Fees &amp; KPI'!M33,'W Fees &amp; KPI'!Q33)</f>
        <v>985195.442484807</v>
      </c>
      <c r="AJ64" s="119" t="n">
        <f aca="false">AJ20-SUM('W Fees &amp; KPI'!J34,'W Fees &amp; KPI'!M34,'W Fees &amp; KPI'!Q34)</f>
        <v>689556.858409316</v>
      </c>
      <c r="AK64" s="119" t="n">
        <f aca="false">AK20-SUM('W Fees &amp; KPI'!J35,'W Fees &amp; KPI'!M35,'W Fees &amp; KPI'!Q35)</f>
        <v>488569.376171571</v>
      </c>
      <c r="AL64" s="119" t="n">
        <f aca="false">AL20-SUM('W Fees &amp; KPI'!J36,'W Fees &amp; KPI'!M36,'W Fees &amp; KPI'!Q36)</f>
        <v>740275.510447062</v>
      </c>
      <c r="AM64" s="119" t="n">
        <f aca="false">AM20-SUM('W Fees &amp; KPI'!J37,'W Fees &amp; KPI'!M37,'W Fees &amp; KPI'!Q37)</f>
        <v>698792.598809316</v>
      </c>
      <c r="AN64" s="119" t="n">
        <f aca="false">AN20-SUM('W Fees &amp; KPI'!J38,'W Fees &amp; KPI'!M38,'W Fees &amp; KPI'!Q38)</f>
        <v>488569.376171571</v>
      </c>
      <c r="AO64" s="119" t="n">
        <f aca="false">AO20-SUM('W Fees &amp; KPI'!J39,'W Fees &amp; KPI'!M39,'W Fees &amp; KPI'!Q39)</f>
        <v>491378.04062059</v>
      </c>
      <c r="AP64" s="119" t="n">
        <f aca="false">AP20-SUM('W Fees &amp; KPI'!J40,'W Fees &amp; KPI'!M40,'W Fees &amp; KPI'!Q40)</f>
        <v>597714.42102059</v>
      </c>
      <c r="AQ64" s="119" t="n">
        <f aca="false">AQ20-SUM('W Fees &amp; KPI'!J41,'W Fees &amp; KPI'!M41,'W Fees &amp; KPI'!Q41)</f>
        <v>618276.313696081</v>
      </c>
    </row>
    <row r="65" customFormat="false" ht="28.5" hidden="false" customHeight="true" outlineLevel="0" collapsed="false">
      <c r="C65" s="116" t="s">
        <v>808</v>
      </c>
      <c r="D65" s="117" t="n">
        <f aca="false">SUM(H65:S65)</f>
        <v>634924.625</v>
      </c>
      <c r="E65" s="117" t="n">
        <f aca="false">SUM(T65:AE65)</f>
        <v>2121043.5</v>
      </c>
      <c r="F65" s="117" t="n">
        <f aca="false">SUM(AF65:AQ65)</f>
        <v>4387654.25</v>
      </c>
      <c r="G65" s="118"/>
      <c r="H65" s="119" t="n">
        <f aca="false">H9-H23-SUMIFS('W Program Monthly'!$J$6:$J$509,'W Program Monthly'!$C$6:$C$509,H$6,'W Program Monthly'!$E$6:$E$509,"WOO IP")-SUM('W Fees &amp; KPI'!K6,'W Fees &amp; KPI'!N6,'W Fees &amp; KPI'!R6)-H27</f>
        <v>0</v>
      </c>
      <c r="I65" s="119" t="n">
        <f aca="false">I9-I23-SUMIFS('W Program Monthly'!$J$6:$J$509,'W Program Monthly'!$C$6:$C$509,I$6,'W Program Monthly'!$E$6:$E$509,"WOO IP")-SUM('W Fees &amp; KPI'!K7,'W Fees &amp; KPI'!N7,'W Fees &amp; KPI'!R7)-I27</f>
        <v>-39033.552631579</v>
      </c>
      <c r="J65" s="119" t="n">
        <f aca="false">J9-J23-SUMIFS('W Program Monthly'!$J$6:$J$509,'W Program Monthly'!$C$6:$C$509,J$6,'W Program Monthly'!$E$6:$E$509,"WOO IP")-SUM('W Fees &amp; KPI'!K8,'W Fees &amp; KPI'!N8,'W Fees &amp; KPI'!R8)-J27</f>
        <v>33772.8947368421</v>
      </c>
      <c r="K65" s="119" t="n">
        <f aca="false">K9-K23-SUMIFS('W Program Monthly'!$J$6:$J$509,'W Program Monthly'!$C$6:$C$509,K$6,'W Program Monthly'!$E$6:$E$509,"WOO IP")-SUM('W Fees &amp; KPI'!K9,'W Fees &amp; KPI'!N9,'W Fees &amp; KPI'!R9)-K27</f>
        <v>52730.4407894737</v>
      </c>
      <c r="L65" s="119" t="n">
        <f aca="false">L9-L23-SUMIFS('W Program Monthly'!$J$6:$J$509,'W Program Monthly'!$C$6:$C$509,L$6,'W Program Monthly'!$E$6:$E$509,"WOO IP")-SUM('W Fees &amp; KPI'!K10,'W Fees &amp; KPI'!N10,'W Fees &amp; KPI'!R10)-L27</f>
        <v>73431.8552631579</v>
      </c>
      <c r="M65" s="119" t="n">
        <f aca="false">M9-M23-SUMIFS('W Program Monthly'!$J$6:$J$509,'W Program Monthly'!$C$6:$C$509,M$6,'W Program Monthly'!$E$6:$E$509,"WOO IP")-SUM('W Fees &amp; KPI'!K11,'W Fees &amp; KPI'!N11,'W Fees &amp; KPI'!R11)-M27</f>
        <v>73431.8552631579</v>
      </c>
      <c r="N65" s="119" t="n">
        <f aca="false">N9-N23-SUMIFS('W Program Monthly'!$J$6:$J$509,'W Program Monthly'!$C$6:$C$509,N$6,'W Program Monthly'!$E$6:$E$509,"WOO IP")-SUM('W Fees &amp; KPI'!K12,'W Fees &amp; KPI'!N12,'W Fees &amp; KPI'!R12)-N27</f>
        <v>73431.8552631579</v>
      </c>
      <c r="O65" s="119" t="n">
        <f aca="false">O9-O23-SUMIFS('W Program Monthly'!$J$6:$J$509,'W Program Monthly'!$C$6:$C$509,O$6,'W Program Monthly'!$E$6:$E$509,"WOO IP")-SUM('W Fees &amp; KPI'!K13,'W Fees &amp; KPI'!N13,'W Fees &amp; KPI'!R13)-O27</f>
        <v>73431.8552631579</v>
      </c>
      <c r="P65" s="119" t="n">
        <f aca="false">P9-P23-SUMIFS('W Program Monthly'!$J$6:$J$509,'W Program Monthly'!$C$6:$C$509,P$6,'W Program Monthly'!$E$6:$E$509,"WOO IP")-SUM('W Fees &amp; KPI'!K14,'W Fees &amp; KPI'!N14,'W Fees &amp; KPI'!R14)-P27</f>
        <v>73431.8552631579</v>
      </c>
      <c r="Q65" s="119" t="n">
        <f aca="false">Q9-Q23-SUMIFS('W Program Monthly'!$J$6:$J$509,'W Program Monthly'!$C$6:$C$509,Q$6,'W Program Monthly'!$E$6:$E$509,"WOO IP")-SUM('W Fees &amp; KPI'!K15,'W Fees &amp; KPI'!N15,'W Fees &amp; KPI'!R15)-Q27</f>
        <v>73431.8552631579</v>
      </c>
      <c r="R65" s="119" t="n">
        <f aca="false">R9-R23-SUMIFS('W Program Monthly'!$J$6:$J$509,'W Program Monthly'!$C$6:$C$509,R$6,'W Program Monthly'!$E$6:$E$509,"WOO IP")-SUM('W Fees &amp; KPI'!K16,'W Fees &amp; KPI'!N16,'W Fees &amp; KPI'!R16)-R27</f>
        <v>73431.8552631579</v>
      </c>
      <c r="S65" s="119" t="n">
        <f aca="false">S9-S23-SUMIFS('W Program Monthly'!$J$6:$J$509,'W Program Monthly'!$C$6:$C$509,S$6,'W Program Monthly'!$E$6:$E$509,"WOO IP")-SUM('W Fees &amp; KPI'!K17,'W Fees &amp; KPI'!N17,'W Fees &amp; KPI'!R17)-S27</f>
        <v>73431.8552631579</v>
      </c>
      <c r="T65" s="119" t="n">
        <f aca="false">T9-T23-SUMIFS('W Program Monthly'!$J$6:$J$509,'W Program Monthly'!$C$6:$C$509,T$6,'W Program Monthly'!$E$6:$E$509,"WOO IP")-SUM('W Fees &amp; KPI'!K18,'W Fees &amp; KPI'!N18,'W Fees &amp; KPI'!R18)-T27</f>
        <v>176753.625</v>
      </c>
      <c r="U65" s="119" t="n">
        <f aca="false">U9-U23-SUMIFS('W Program Monthly'!$J$6:$J$509,'W Program Monthly'!$C$6:$C$509,U$6,'W Program Monthly'!$E$6:$E$509,"WOO IP")-SUM('W Fees &amp; KPI'!K19,'W Fees &amp; KPI'!N19,'W Fees &amp; KPI'!R19)-U27</f>
        <v>176753.625</v>
      </c>
      <c r="V65" s="119" t="n">
        <f aca="false">V9-V23-SUMIFS('W Program Monthly'!$J$6:$J$509,'W Program Monthly'!$C$6:$C$509,V$6,'W Program Monthly'!$E$6:$E$509,"WOO IP")-SUM('W Fees &amp; KPI'!K20,'W Fees &amp; KPI'!N20,'W Fees &amp; KPI'!R20)-V27</f>
        <v>176753.625</v>
      </c>
      <c r="W65" s="119" t="n">
        <f aca="false">W9-W23-SUMIFS('W Program Monthly'!$J$6:$J$509,'W Program Monthly'!$C$6:$C$509,W$6,'W Program Monthly'!$E$6:$E$509,"WOO IP")-SUM('W Fees &amp; KPI'!K21,'W Fees &amp; KPI'!N21,'W Fees &amp; KPI'!R21)-W27</f>
        <v>176753.625</v>
      </c>
      <c r="X65" s="119" t="n">
        <f aca="false">X9-X23-SUMIFS('W Program Monthly'!$J$6:$J$509,'W Program Monthly'!$C$6:$C$509,X$6,'W Program Monthly'!$E$6:$E$509,"WOO IP")-SUM('W Fees &amp; KPI'!K22,'W Fees &amp; KPI'!N22,'W Fees &amp; KPI'!R22)-X27</f>
        <v>176753.625</v>
      </c>
      <c r="Y65" s="119" t="n">
        <f aca="false">Y9-Y23-SUMIFS('W Program Monthly'!$J$6:$J$509,'W Program Monthly'!$C$6:$C$509,Y$6,'W Program Monthly'!$E$6:$E$509,"WOO IP")-SUM('W Fees &amp; KPI'!K23,'W Fees &amp; KPI'!N23,'W Fees &amp; KPI'!R23)-Y27</f>
        <v>176753.625</v>
      </c>
      <c r="Z65" s="119" t="n">
        <f aca="false">Z9-Z23-SUMIFS('W Program Monthly'!$J$6:$J$509,'W Program Monthly'!$C$6:$C$509,Z$6,'W Program Monthly'!$E$6:$E$509,"WOO IP")-SUM('W Fees &amp; KPI'!K24,'W Fees &amp; KPI'!N24,'W Fees &amp; KPI'!R24)-Z27</f>
        <v>176753.625</v>
      </c>
      <c r="AA65" s="119" t="n">
        <f aca="false">AA9-AA23-SUMIFS('W Program Monthly'!$J$6:$J$509,'W Program Monthly'!$C$6:$C$509,AA$6,'W Program Monthly'!$E$6:$E$509,"WOO IP")-SUM('W Fees &amp; KPI'!K25,'W Fees &amp; KPI'!N25,'W Fees &amp; KPI'!R25)-AA27</f>
        <v>176753.625</v>
      </c>
      <c r="AB65" s="119" t="n">
        <f aca="false">AB9-AB23-SUMIFS('W Program Monthly'!$J$6:$J$509,'W Program Monthly'!$C$6:$C$509,AB$6,'W Program Monthly'!$E$6:$E$509,"WOO IP")-SUM('W Fees &amp; KPI'!K26,'W Fees &amp; KPI'!N26,'W Fees &amp; KPI'!R26)-AB27</f>
        <v>176753.625</v>
      </c>
      <c r="AC65" s="119" t="n">
        <f aca="false">AC9-AC23-SUMIFS('W Program Monthly'!$J$6:$J$509,'W Program Monthly'!$C$6:$C$509,AC$6,'W Program Monthly'!$E$6:$E$509,"WOO IP")-SUM('W Fees &amp; KPI'!K27,'W Fees &amp; KPI'!N27,'W Fees &amp; KPI'!R27)-AC27</f>
        <v>176753.625</v>
      </c>
      <c r="AD65" s="119" t="n">
        <f aca="false">AD9-AD23-SUMIFS('W Program Monthly'!$J$6:$J$509,'W Program Monthly'!$C$6:$C$509,AD$6,'W Program Monthly'!$E$6:$E$509,"WOO IP")-SUM('W Fees &amp; KPI'!K28,'W Fees &amp; KPI'!N28,'W Fees &amp; KPI'!R28)-AD27</f>
        <v>176753.625</v>
      </c>
      <c r="AE65" s="119" t="n">
        <f aca="false">AE9-AE23-SUMIFS('W Program Monthly'!$J$6:$J$509,'W Program Monthly'!$C$6:$C$509,AE$6,'W Program Monthly'!$E$6:$E$509,"WOO IP")-SUM('W Fees &amp; KPI'!K29,'W Fees &amp; KPI'!N29,'W Fees &amp; KPI'!R29)-AE27</f>
        <v>176753.625</v>
      </c>
      <c r="AF65" s="119" t="n">
        <f aca="false">AF9-AF23-SUMIFS('W Program Monthly'!$J$6:$J$509,'W Program Monthly'!$C$6:$C$509,AF$6,'W Program Monthly'!$E$6:$E$509,"WOO IP")-SUM('W Fees &amp; KPI'!K30,'W Fees &amp; KPI'!N30,'W Fees &amp; KPI'!R30)-AF27</f>
        <v>365637.854166667</v>
      </c>
      <c r="AG65" s="119" t="n">
        <f aca="false">AG9-AG23-SUMIFS('W Program Monthly'!$J$6:$J$509,'W Program Monthly'!$C$6:$C$509,AG$6,'W Program Monthly'!$E$6:$E$509,"WOO IP")-SUM('W Fees &amp; KPI'!K31,'W Fees &amp; KPI'!N31,'W Fees &amp; KPI'!R31)-AG27</f>
        <v>365637.854166667</v>
      </c>
      <c r="AH65" s="119" t="n">
        <f aca="false">AH9-AH23-SUMIFS('W Program Monthly'!$J$6:$J$509,'W Program Monthly'!$C$6:$C$509,AH$6,'W Program Monthly'!$E$6:$E$509,"WOO IP")-SUM('W Fees &amp; KPI'!K32,'W Fees &amp; KPI'!N32,'W Fees &amp; KPI'!R32)-AH27</f>
        <v>365637.854166667</v>
      </c>
      <c r="AI65" s="119" t="n">
        <f aca="false">AI9-AI23-SUMIFS('W Program Monthly'!$J$6:$J$509,'W Program Monthly'!$C$6:$C$509,AI$6,'W Program Monthly'!$E$6:$E$509,"WOO IP")-SUM('W Fees &amp; KPI'!K33,'W Fees &amp; KPI'!N33,'W Fees &amp; KPI'!R33)-AI27</f>
        <v>365637.854166667</v>
      </c>
      <c r="AJ65" s="119" t="n">
        <f aca="false">AJ9-AJ23-SUMIFS('W Program Monthly'!$J$6:$J$509,'W Program Monthly'!$C$6:$C$509,AJ$6,'W Program Monthly'!$E$6:$E$509,"WOO IP")-SUM('W Fees &amp; KPI'!K34,'W Fees &amp; KPI'!N34,'W Fees &amp; KPI'!R34)-AJ27</f>
        <v>365637.854166667</v>
      </c>
      <c r="AK65" s="119" t="n">
        <f aca="false">AK9-AK23-SUMIFS('W Program Monthly'!$J$6:$J$509,'W Program Monthly'!$C$6:$C$509,AK$6,'W Program Monthly'!$E$6:$E$509,"WOO IP")-SUM('W Fees &amp; KPI'!K35,'W Fees &amp; KPI'!N35,'W Fees &amp; KPI'!R35)-AK27</f>
        <v>365637.854166667</v>
      </c>
      <c r="AL65" s="119" t="n">
        <f aca="false">AL9-AL23-SUMIFS('W Program Monthly'!$J$6:$J$509,'W Program Monthly'!$C$6:$C$509,AL$6,'W Program Monthly'!$E$6:$E$509,"WOO IP")-SUM('W Fees &amp; KPI'!K36,'W Fees &amp; KPI'!N36,'W Fees &amp; KPI'!R36)-AL27</f>
        <v>365637.854166667</v>
      </c>
      <c r="AM65" s="119" t="n">
        <f aca="false">AM9-AM23-SUMIFS('W Program Monthly'!$J$6:$J$509,'W Program Monthly'!$C$6:$C$509,AM$6,'W Program Monthly'!$E$6:$E$509,"WOO IP")-SUM('W Fees &amp; KPI'!K37,'W Fees &amp; KPI'!N37,'W Fees &amp; KPI'!R37)-AM27</f>
        <v>365637.854166667</v>
      </c>
      <c r="AN65" s="119" t="n">
        <f aca="false">AN9-AN23-SUMIFS('W Program Monthly'!$J$6:$J$509,'W Program Monthly'!$C$6:$C$509,AN$6,'W Program Monthly'!$E$6:$E$509,"WOO IP")-SUM('W Fees &amp; KPI'!K38,'W Fees &amp; KPI'!N38,'W Fees &amp; KPI'!R38)-AN27</f>
        <v>365637.854166667</v>
      </c>
      <c r="AO65" s="119" t="n">
        <f aca="false">AO9-AO23-SUMIFS('W Program Monthly'!$J$6:$J$509,'W Program Monthly'!$C$6:$C$509,AO$6,'W Program Monthly'!$E$6:$E$509,"WOO IP")-SUM('W Fees &amp; KPI'!K39,'W Fees &amp; KPI'!N39,'W Fees &amp; KPI'!R39)-AO27</f>
        <v>365637.854166667</v>
      </c>
      <c r="AP65" s="119" t="n">
        <f aca="false">AP9-AP23-SUMIFS('W Program Monthly'!$J$6:$J$509,'W Program Monthly'!$C$6:$C$509,AP$6,'W Program Monthly'!$E$6:$E$509,"WOO IP")-SUM('W Fees &amp; KPI'!K40,'W Fees &amp; KPI'!N40,'W Fees &amp; KPI'!R40)-AP27</f>
        <v>365637.854166667</v>
      </c>
      <c r="AQ65" s="119" t="n">
        <f aca="false">AQ9-AQ23-SUMIFS('W Program Monthly'!$J$6:$J$509,'W Program Monthly'!$C$6:$C$509,AQ$6,'W Program Monthly'!$E$6:$E$509,"WOO IP")-SUM('W Fees &amp; KPI'!K41,'W Fees &amp; KPI'!N41,'W Fees &amp; KPI'!R41)-AQ27</f>
        <v>365637.854166667</v>
      </c>
    </row>
    <row r="66" customFormat="false" ht="15" hidden="false" customHeight="false" outlineLevel="0" collapsed="false">
      <c r="C66" s="0" t="s">
        <v>792</v>
      </c>
      <c r="D66" s="117" t="n">
        <f aca="false">SUM(H66:S66)</f>
        <v>274785</v>
      </c>
      <c r="E66" s="117" t="n">
        <f aca="false">SUM(T66:AE66)</f>
        <v>1511920</v>
      </c>
      <c r="F66" s="117" t="n">
        <f aca="false">SUM(AF66:AQ66)</f>
        <v>3905636.4</v>
      </c>
      <c r="G66" s="118"/>
      <c r="H66" s="119" t="n">
        <f aca="false">'W TLI JV'!H14</f>
        <v>0</v>
      </c>
      <c r="I66" s="119" t="n">
        <f aca="false">'W TLI JV'!I14</f>
        <v>-77889.6052631579</v>
      </c>
      <c r="J66" s="119" t="n">
        <f aca="false">'W TLI JV'!J14</f>
        <v>14390.7894736842</v>
      </c>
      <c r="K66" s="119" t="n">
        <f aca="false">'W TLI JV'!K14</f>
        <v>26671.1842105263</v>
      </c>
      <c r="L66" s="119" t="n">
        <f aca="false">'W TLI JV'!L14</f>
        <v>38951.5789473684</v>
      </c>
      <c r="M66" s="119" t="n">
        <f aca="false">'W TLI JV'!M14</f>
        <v>38951.5789473684</v>
      </c>
      <c r="N66" s="119" t="n">
        <f aca="false">'W TLI JV'!N14</f>
        <v>38951.5789473684</v>
      </c>
      <c r="O66" s="119" t="n">
        <f aca="false">'W TLI JV'!O14</f>
        <v>38951.5789473684</v>
      </c>
      <c r="P66" s="119" t="n">
        <f aca="false">'W TLI JV'!P14</f>
        <v>38951.5789473684</v>
      </c>
      <c r="Q66" s="119" t="n">
        <f aca="false">'W TLI JV'!Q14</f>
        <v>38951.5789473684</v>
      </c>
      <c r="R66" s="119" t="n">
        <f aca="false">'W TLI JV'!R14</f>
        <v>38951.5789473684</v>
      </c>
      <c r="S66" s="119" t="n">
        <f aca="false">'W TLI JV'!S14</f>
        <v>38951.5789473684</v>
      </c>
      <c r="T66" s="119" t="n">
        <f aca="false">'W TLI JV'!T14</f>
        <v>125993.333333333</v>
      </c>
      <c r="U66" s="119" t="n">
        <f aca="false">'W TLI JV'!U14</f>
        <v>125993.333333333</v>
      </c>
      <c r="V66" s="119" t="n">
        <f aca="false">'W TLI JV'!V14</f>
        <v>125993.333333333</v>
      </c>
      <c r="W66" s="119" t="n">
        <f aca="false">'W TLI JV'!W14</f>
        <v>125993.333333333</v>
      </c>
      <c r="X66" s="119" t="n">
        <f aca="false">'W TLI JV'!X14</f>
        <v>125993.333333333</v>
      </c>
      <c r="Y66" s="119" t="n">
        <f aca="false">'W TLI JV'!Y14</f>
        <v>125993.333333333</v>
      </c>
      <c r="Z66" s="119" t="n">
        <f aca="false">'W TLI JV'!Z14</f>
        <v>125993.333333333</v>
      </c>
      <c r="AA66" s="119" t="n">
        <f aca="false">'W TLI JV'!AA14</f>
        <v>125993.333333333</v>
      </c>
      <c r="AB66" s="119" t="n">
        <f aca="false">'W TLI JV'!AB14</f>
        <v>125993.333333333</v>
      </c>
      <c r="AC66" s="119" t="n">
        <f aca="false">'W TLI JV'!AC14</f>
        <v>125993.333333333</v>
      </c>
      <c r="AD66" s="119" t="n">
        <f aca="false">'W TLI JV'!AD14</f>
        <v>125993.333333333</v>
      </c>
      <c r="AE66" s="119" t="n">
        <f aca="false">'W TLI JV'!AE14</f>
        <v>125993.333333333</v>
      </c>
      <c r="AF66" s="119" t="n">
        <f aca="false">'W TLI JV'!AF14</f>
        <v>325469.7</v>
      </c>
      <c r="AG66" s="119" t="n">
        <f aca="false">'W TLI JV'!AG14</f>
        <v>325469.7</v>
      </c>
      <c r="AH66" s="119" t="n">
        <f aca="false">'W TLI JV'!AH14</f>
        <v>325469.7</v>
      </c>
      <c r="AI66" s="119" t="n">
        <f aca="false">'W TLI JV'!AI14</f>
        <v>325469.7</v>
      </c>
      <c r="AJ66" s="119" t="n">
        <f aca="false">'W TLI JV'!AJ14</f>
        <v>325469.7</v>
      </c>
      <c r="AK66" s="119" t="n">
        <f aca="false">'W TLI JV'!AK14</f>
        <v>325469.7</v>
      </c>
      <c r="AL66" s="119" t="n">
        <f aca="false">'W TLI JV'!AL14</f>
        <v>325469.7</v>
      </c>
      <c r="AM66" s="119" t="n">
        <f aca="false">'W TLI JV'!AM14</f>
        <v>325469.7</v>
      </c>
      <c r="AN66" s="119" t="n">
        <f aca="false">'W TLI JV'!AN14</f>
        <v>325469.7</v>
      </c>
      <c r="AO66" s="119" t="n">
        <f aca="false">'W TLI JV'!AO14</f>
        <v>325469.7</v>
      </c>
      <c r="AP66" s="119" t="n">
        <f aca="false">'W TLI JV'!AP14</f>
        <v>325469.7</v>
      </c>
      <c r="AQ66" s="119" t="n">
        <f aca="false">'W TLI JV'!AQ14</f>
        <v>325469.7</v>
      </c>
    </row>
    <row r="67" customFormat="false" ht="15" hidden="false" customHeight="false" outlineLevel="0" collapsed="false">
      <c r="C67" s="120" t="s">
        <v>809</v>
      </c>
      <c r="D67" s="121" t="n">
        <f aca="false">SUM(H67:S67)</f>
        <v>4625055.81062123</v>
      </c>
      <c r="E67" s="121" t="n">
        <f aca="false">SUM(T67:AE67)</f>
        <v>10234959.7984348</v>
      </c>
      <c r="F67" s="121" t="n">
        <f aca="false">SUM(AF67:AQ67)</f>
        <v>15894448.2120589</v>
      </c>
      <c r="G67" s="118"/>
      <c r="H67" s="119" t="n">
        <f aca="false">SUM(H64:H66)</f>
        <v>-19328.8888888888</v>
      </c>
      <c r="I67" s="119" t="n">
        <f aca="false">SUM(I64:I66)</f>
        <v>30440.2855180729</v>
      </c>
      <c r="J67" s="119" t="n">
        <f aca="false">SUM(J64:J66)</f>
        <v>116960.789717773</v>
      </c>
      <c r="K67" s="119" t="n">
        <f aca="false">SUM(K64:K66)</f>
        <v>491153.411666667</v>
      </c>
      <c r="L67" s="119" t="n">
        <f aca="false">SUM(L64:L66)</f>
        <v>372422.624790236</v>
      </c>
      <c r="M67" s="119" t="n">
        <f aca="false">SUM(M64:M66)</f>
        <v>344058.958641168</v>
      </c>
      <c r="N67" s="119" t="n">
        <f aca="false">SUM(N64:N66)</f>
        <v>630330.64870328</v>
      </c>
      <c r="O67" s="119" t="n">
        <f aca="false">SUM(O64:O66)</f>
        <v>625907.903051106</v>
      </c>
      <c r="P67" s="119" t="n">
        <f aca="false">SUM(P64:P66)</f>
        <v>446171.579138063</v>
      </c>
      <c r="Q67" s="119" t="n">
        <f aca="false">SUM(Q64:Q66)</f>
        <v>461338.783485889</v>
      </c>
      <c r="R67" s="119" t="n">
        <f aca="false">SUM(R64:R66)</f>
        <v>555977.783485889</v>
      </c>
      <c r="S67" s="119" t="n">
        <f aca="false">SUM(S64:S66)</f>
        <v>569621.931311976</v>
      </c>
      <c r="T67" s="119" t="n">
        <f aca="false">SUM(T64:T66)</f>
        <v>716839.749869565</v>
      </c>
      <c r="U67" s="119" t="n">
        <f aca="false">SUM(U64:U66)</f>
        <v>904607.122363044</v>
      </c>
      <c r="V67" s="119" t="n">
        <f aca="false">SUM(V64:V66)</f>
        <v>841581.144856522</v>
      </c>
      <c r="W67" s="119" t="n">
        <f aca="false">SUM(W64:W66)</f>
        <v>1179824.52735</v>
      </c>
      <c r="X67" s="119" t="n">
        <f aca="false">SUM(X64:X66)</f>
        <v>904607.122363044</v>
      </c>
      <c r="Y67" s="119" t="n">
        <f aca="false">SUM(Y64:Y66)</f>
        <v>716839.749869566</v>
      </c>
      <c r="Z67" s="119" t="n">
        <f aca="false">SUM(Z64:Z66)</f>
        <v>948849.824856522</v>
      </c>
      <c r="AA67" s="119" t="n">
        <f aca="false">SUM(AA64:AA66)</f>
        <v>911558.462363044</v>
      </c>
      <c r="AB67" s="119" t="n">
        <f aca="false">SUM(AB64:AB66)</f>
        <v>716839.749869566</v>
      </c>
      <c r="AC67" s="119" t="n">
        <f aca="false">SUM(AC64:AC66)</f>
        <v>725101.649895653</v>
      </c>
      <c r="AD67" s="119" t="n">
        <f aca="false">SUM(AD64:AD66)</f>
        <v>825418.989895652</v>
      </c>
      <c r="AE67" s="119" t="n">
        <f aca="false">SUM(AE64:AE66)</f>
        <v>842891.704882609</v>
      </c>
      <c r="AF67" s="119" t="n">
        <f aca="false">SUM(AF64:AF66)</f>
        <v>1179676.93033824</v>
      </c>
      <c r="AG67" s="119" t="n">
        <f aca="false">SUM(AG64:AG66)</f>
        <v>1380664.41257598</v>
      </c>
      <c r="AH67" s="119" t="n">
        <f aca="false">SUM(AH64:AH66)</f>
        <v>1315810.94381373</v>
      </c>
      <c r="AI67" s="119" t="n">
        <f aca="false">SUM(AI64:AI66)</f>
        <v>1676302.99665147</v>
      </c>
      <c r="AJ67" s="119" t="n">
        <f aca="false">SUM(AJ64:AJ66)</f>
        <v>1380664.41257598</v>
      </c>
      <c r="AK67" s="119" t="n">
        <f aca="false">SUM(AK64:AK66)</f>
        <v>1179676.93033824</v>
      </c>
      <c r="AL67" s="119" t="n">
        <f aca="false">SUM(AL64:AL66)</f>
        <v>1431383.06461373</v>
      </c>
      <c r="AM67" s="119" t="n">
        <f aca="false">SUM(AM64:AM66)</f>
        <v>1389900.15297598</v>
      </c>
      <c r="AN67" s="119" t="n">
        <f aca="false">SUM(AN64:AN66)</f>
        <v>1179676.93033824</v>
      </c>
      <c r="AO67" s="119" t="n">
        <f aca="false">SUM(AO64:AO66)</f>
        <v>1182485.59478726</v>
      </c>
      <c r="AP67" s="119" t="n">
        <f aca="false">SUM(AP64:AP66)</f>
        <v>1288821.97518726</v>
      </c>
      <c r="AQ67" s="119" t="n">
        <f aca="false">SUM(AQ64:AQ66)</f>
        <v>1309383.86786275</v>
      </c>
    </row>
    <row r="68" customFormat="false" ht="15" hidden="false" customHeight="false" outlineLevel="0" collapsed="false">
      <c r="C68" s="0" t="s">
        <v>810</v>
      </c>
      <c r="D68" s="117" t="n">
        <f aca="false">SUM(H68:S68)</f>
        <v>164871</v>
      </c>
      <c r="E68" s="117" t="n">
        <f aca="false">SUM(T68:AE68)</f>
        <v>907152</v>
      </c>
      <c r="F68" s="117" t="n">
        <f aca="false">SUM(AF68:AQ68)</f>
        <v>2343381.84</v>
      </c>
      <c r="G68" s="118"/>
      <c r="H68" s="119" t="n">
        <f aca="false">H66*'W Assumptions'!$D$52</f>
        <v>0</v>
      </c>
      <c r="I68" s="119" t="n">
        <f aca="false">I66*'W Assumptions'!$D$52</f>
        <v>-46733.7631578947</v>
      </c>
      <c r="J68" s="119" t="n">
        <f aca="false">J66*'W Assumptions'!$D$52</f>
        <v>8634.47368421052</v>
      </c>
      <c r="K68" s="119" t="n">
        <f aca="false">K66*'W Assumptions'!$D$52</f>
        <v>16002.7105263158</v>
      </c>
      <c r="L68" s="119" t="n">
        <f aca="false">L66*'W Assumptions'!$D$52</f>
        <v>23370.947368421</v>
      </c>
      <c r="M68" s="119" t="n">
        <f aca="false">M66*'W Assumptions'!$D$52</f>
        <v>23370.947368421</v>
      </c>
      <c r="N68" s="119" t="n">
        <f aca="false">N66*'W Assumptions'!$D$52</f>
        <v>23370.947368421</v>
      </c>
      <c r="O68" s="119" t="n">
        <f aca="false">O66*'W Assumptions'!$D$52</f>
        <v>23370.947368421</v>
      </c>
      <c r="P68" s="119" t="n">
        <f aca="false">P66*'W Assumptions'!$D$52</f>
        <v>23370.947368421</v>
      </c>
      <c r="Q68" s="119" t="n">
        <f aca="false">Q66*'W Assumptions'!$D$52</f>
        <v>23370.947368421</v>
      </c>
      <c r="R68" s="119" t="n">
        <f aca="false">R66*'W Assumptions'!$D$52</f>
        <v>23370.947368421</v>
      </c>
      <c r="S68" s="119" t="n">
        <f aca="false">S66*'W Assumptions'!$D$52</f>
        <v>23370.947368421</v>
      </c>
      <c r="T68" s="119" t="n">
        <f aca="false">T66*'W Assumptions'!$D$52</f>
        <v>75596</v>
      </c>
      <c r="U68" s="119" t="n">
        <f aca="false">U66*'W Assumptions'!$D$52</f>
        <v>75596</v>
      </c>
      <c r="V68" s="119" t="n">
        <f aca="false">V66*'W Assumptions'!$D$52</f>
        <v>75596</v>
      </c>
      <c r="W68" s="119" t="n">
        <f aca="false">W66*'W Assumptions'!$D$52</f>
        <v>75596</v>
      </c>
      <c r="X68" s="119" t="n">
        <f aca="false">X66*'W Assumptions'!$D$52</f>
        <v>75596</v>
      </c>
      <c r="Y68" s="119" t="n">
        <f aca="false">Y66*'W Assumptions'!$D$52</f>
        <v>75596</v>
      </c>
      <c r="Z68" s="119" t="n">
        <f aca="false">Z66*'W Assumptions'!$D$52</f>
        <v>75596</v>
      </c>
      <c r="AA68" s="119" t="n">
        <f aca="false">AA66*'W Assumptions'!$D$52</f>
        <v>75596</v>
      </c>
      <c r="AB68" s="119" t="n">
        <f aca="false">AB66*'W Assumptions'!$D$52</f>
        <v>75596</v>
      </c>
      <c r="AC68" s="119" t="n">
        <f aca="false">AC66*'W Assumptions'!$D$52</f>
        <v>75596</v>
      </c>
      <c r="AD68" s="119" t="n">
        <f aca="false">AD66*'W Assumptions'!$D$52</f>
        <v>75596</v>
      </c>
      <c r="AE68" s="119" t="n">
        <f aca="false">AE66*'W Assumptions'!$D$52</f>
        <v>75596</v>
      </c>
      <c r="AF68" s="119" t="n">
        <f aca="false">AF66*'W Assumptions'!$D$52</f>
        <v>195281.82</v>
      </c>
      <c r="AG68" s="119" t="n">
        <f aca="false">AG66*'W Assumptions'!$D$52</f>
        <v>195281.82</v>
      </c>
      <c r="AH68" s="119" t="n">
        <f aca="false">AH66*'W Assumptions'!$D$52</f>
        <v>195281.82</v>
      </c>
      <c r="AI68" s="119" t="n">
        <f aca="false">AI66*'W Assumptions'!$D$52</f>
        <v>195281.82</v>
      </c>
      <c r="AJ68" s="119" t="n">
        <f aca="false">AJ66*'W Assumptions'!$D$52</f>
        <v>195281.82</v>
      </c>
      <c r="AK68" s="119" t="n">
        <f aca="false">AK66*'W Assumptions'!$D$52</f>
        <v>195281.82</v>
      </c>
      <c r="AL68" s="119" t="n">
        <f aca="false">AL66*'W Assumptions'!$D$52</f>
        <v>195281.82</v>
      </c>
      <c r="AM68" s="119" t="n">
        <f aca="false">AM66*'W Assumptions'!$D$52</f>
        <v>195281.82</v>
      </c>
      <c r="AN68" s="119" t="n">
        <f aca="false">AN66*'W Assumptions'!$D$52</f>
        <v>195281.82</v>
      </c>
      <c r="AO68" s="119" t="n">
        <f aca="false">AO66*'W Assumptions'!$D$52</f>
        <v>195281.82</v>
      </c>
      <c r="AP68" s="119" t="n">
        <f aca="false">AP66*'W Assumptions'!$D$52</f>
        <v>195281.82</v>
      </c>
      <c r="AQ68" s="119" t="n">
        <f aca="false">AQ66*'W Assumptions'!$D$52</f>
        <v>195281.82</v>
      </c>
    </row>
    <row r="69" customFormat="false" ht="15" hidden="false" customHeight="false" outlineLevel="0" collapsed="false">
      <c r="C69" s="0" t="s">
        <v>811</v>
      </c>
      <c r="D69" s="117" t="n">
        <f aca="false">SUM(H69:S69)</f>
        <v>109914</v>
      </c>
      <c r="E69" s="117" t="n">
        <f aca="false">SUM(T69:AE69)</f>
        <v>604768</v>
      </c>
      <c r="F69" s="117" t="n">
        <f aca="false">SUM(AF69:AQ69)</f>
        <v>1562254.56</v>
      </c>
      <c r="G69" s="118"/>
      <c r="H69" s="119" t="n">
        <f aca="false">H66*'W Assumptions'!$D$53</f>
        <v>0</v>
      </c>
      <c r="I69" s="119" t="n">
        <f aca="false">I66*'W Assumptions'!$D$53</f>
        <v>-31155.8421052632</v>
      </c>
      <c r="J69" s="119" t="n">
        <f aca="false">J66*'W Assumptions'!$D$53</f>
        <v>5756.31578947368</v>
      </c>
      <c r="K69" s="119" t="n">
        <f aca="false">K66*'W Assumptions'!$D$53</f>
        <v>10668.4736842105</v>
      </c>
      <c r="L69" s="119" t="n">
        <f aca="false">L66*'W Assumptions'!$D$53</f>
        <v>15580.6315789474</v>
      </c>
      <c r="M69" s="119" t="n">
        <f aca="false">M66*'W Assumptions'!$D$53</f>
        <v>15580.6315789474</v>
      </c>
      <c r="N69" s="119" t="n">
        <f aca="false">N66*'W Assumptions'!$D$53</f>
        <v>15580.6315789474</v>
      </c>
      <c r="O69" s="119" t="n">
        <f aca="false">O66*'W Assumptions'!$D$53</f>
        <v>15580.6315789474</v>
      </c>
      <c r="P69" s="119" t="n">
        <f aca="false">P66*'W Assumptions'!$D$53</f>
        <v>15580.6315789474</v>
      </c>
      <c r="Q69" s="119" t="n">
        <f aca="false">Q66*'W Assumptions'!$D$53</f>
        <v>15580.6315789474</v>
      </c>
      <c r="R69" s="119" t="n">
        <f aca="false">R66*'W Assumptions'!$D$53</f>
        <v>15580.6315789474</v>
      </c>
      <c r="S69" s="119" t="n">
        <f aca="false">S66*'W Assumptions'!$D$53</f>
        <v>15580.6315789474</v>
      </c>
      <c r="T69" s="119" t="n">
        <f aca="false">T66*'W Assumptions'!$D$53</f>
        <v>50397.3333333333</v>
      </c>
      <c r="U69" s="119" t="n">
        <f aca="false">U66*'W Assumptions'!$D$53</f>
        <v>50397.3333333333</v>
      </c>
      <c r="V69" s="119" t="n">
        <f aca="false">V66*'W Assumptions'!$D$53</f>
        <v>50397.3333333333</v>
      </c>
      <c r="W69" s="119" t="n">
        <f aca="false">W66*'W Assumptions'!$D$53</f>
        <v>50397.3333333333</v>
      </c>
      <c r="X69" s="119" t="n">
        <f aca="false">X66*'W Assumptions'!$D$53</f>
        <v>50397.3333333333</v>
      </c>
      <c r="Y69" s="119" t="n">
        <f aca="false">Y66*'W Assumptions'!$D$53</f>
        <v>50397.3333333333</v>
      </c>
      <c r="Z69" s="119" t="n">
        <f aca="false">Z66*'W Assumptions'!$D$53</f>
        <v>50397.3333333333</v>
      </c>
      <c r="AA69" s="119" t="n">
        <f aca="false">AA66*'W Assumptions'!$D$53</f>
        <v>50397.3333333333</v>
      </c>
      <c r="AB69" s="119" t="n">
        <f aca="false">AB66*'W Assumptions'!$D$53</f>
        <v>50397.3333333333</v>
      </c>
      <c r="AC69" s="119" t="n">
        <f aca="false">AC66*'W Assumptions'!$D$53</f>
        <v>50397.3333333333</v>
      </c>
      <c r="AD69" s="119" t="n">
        <f aca="false">AD66*'W Assumptions'!$D$53</f>
        <v>50397.3333333333</v>
      </c>
      <c r="AE69" s="119" t="n">
        <f aca="false">AE66*'W Assumptions'!$D$53</f>
        <v>50397.3333333333</v>
      </c>
      <c r="AF69" s="119" t="n">
        <f aca="false">AF66*'W Assumptions'!$D$53</f>
        <v>130187.88</v>
      </c>
      <c r="AG69" s="119" t="n">
        <f aca="false">AG66*'W Assumptions'!$D$53</f>
        <v>130187.88</v>
      </c>
      <c r="AH69" s="119" t="n">
        <f aca="false">AH66*'W Assumptions'!$D$53</f>
        <v>130187.88</v>
      </c>
      <c r="AI69" s="119" t="n">
        <f aca="false">AI66*'W Assumptions'!$D$53</f>
        <v>130187.88</v>
      </c>
      <c r="AJ69" s="119" t="n">
        <f aca="false">AJ66*'W Assumptions'!$D$53</f>
        <v>130187.88</v>
      </c>
      <c r="AK69" s="119" t="n">
        <f aca="false">AK66*'W Assumptions'!$D$53</f>
        <v>130187.88</v>
      </c>
      <c r="AL69" s="119" t="n">
        <f aca="false">AL66*'W Assumptions'!$D$53</f>
        <v>130187.88</v>
      </c>
      <c r="AM69" s="119" t="n">
        <f aca="false">AM66*'W Assumptions'!$D$53</f>
        <v>130187.88</v>
      </c>
      <c r="AN69" s="119" t="n">
        <f aca="false">AN66*'W Assumptions'!$D$53</f>
        <v>130187.88</v>
      </c>
      <c r="AO69" s="119" t="n">
        <f aca="false">AO66*'W Assumptions'!$D$53</f>
        <v>130187.88</v>
      </c>
      <c r="AP69" s="119" t="n">
        <f aca="false">AP66*'W Assumptions'!$D$53</f>
        <v>130187.88</v>
      </c>
      <c r="AQ69" s="119" t="n">
        <f aca="false">AQ66*'W Assumptions'!$D$53</f>
        <v>130187.88</v>
      </c>
    </row>
    <row r="70" customFormat="false" ht="28.5" hidden="false" customHeight="true" outlineLevel="0" collapsed="false">
      <c r="C70" s="122" t="s">
        <v>812</v>
      </c>
      <c r="D70" s="121" t="n">
        <f aca="false">SUM(H70:S70)</f>
        <v>4515141.81062123</v>
      </c>
      <c r="E70" s="121" t="n">
        <f aca="false">SUM(T70:AE70)</f>
        <v>9630191.79843479</v>
      </c>
      <c r="F70" s="121" t="n">
        <f aca="false">SUM(AF70:AQ70)</f>
        <v>14332193.6520589</v>
      </c>
      <c r="G70" s="118"/>
      <c r="H70" s="119" t="n">
        <f aca="false">SUM(H64:H65,H68)</f>
        <v>-19328.8888888888</v>
      </c>
      <c r="I70" s="119" t="n">
        <f aca="false">SUM(I64:I65,I68)</f>
        <v>61596.127623336</v>
      </c>
      <c r="J70" s="119" t="n">
        <f aca="false">SUM(J64:J65,J68)</f>
        <v>111204.473928299</v>
      </c>
      <c r="K70" s="119" t="n">
        <f aca="false">SUM(K64:K65,K68)</f>
        <v>480484.937982456</v>
      </c>
      <c r="L70" s="119" t="n">
        <f aca="false">SUM(L64:L65,L68)</f>
        <v>356841.993211289</v>
      </c>
      <c r="M70" s="119" t="n">
        <f aca="false">SUM(M64:M65,M68)</f>
        <v>328478.327062221</v>
      </c>
      <c r="N70" s="119" t="n">
        <f aca="false">SUM(N64:N65,N68)</f>
        <v>614750.017124333</v>
      </c>
      <c r="O70" s="119" t="n">
        <f aca="false">SUM(O64:O65,O68)</f>
        <v>610327.271472159</v>
      </c>
      <c r="P70" s="119" t="n">
        <f aca="false">SUM(P64:P65,P68)</f>
        <v>430590.947559115</v>
      </c>
      <c r="Q70" s="119" t="n">
        <f aca="false">SUM(Q64:Q65,Q68)</f>
        <v>445758.151906941</v>
      </c>
      <c r="R70" s="119" t="n">
        <f aca="false">SUM(R64:R65,R68)</f>
        <v>540397.151906941</v>
      </c>
      <c r="S70" s="119" t="n">
        <f aca="false">SUM(S64:S65,S68)</f>
        <v>554041.299733028</v>
      </c>
      <c r="T70" s="119" t="n">
        <f aca="false">SUM(T64:T65,T68)</f>
        <v>666442.416536232</v>
      </c>
      <c r="U70" s="119" t="n">
        <f aca="false">SUM(U64:U65,U68)</f>
        <v>854209.78902971</v>
      </c>
      <c r="V70" s="119" t="n">
        <f aca="false">SUM(V64:V65,V68)</f>
        <v>791183.811523189</v>
      </c>
      <c r="W70" s="119" t="n">
        <f aca="false">SUM(W64:W65,W68)</f>
        <v>1129427.19401667</v>
      </c>
      <c r="X70" s="119" t="n">
        <f aca="false">SUM(X64:X65,X68)</f>
        <v>854209.78902971</v>
      </c>
      <c r="Y70" s="119" t="n">
        <f aca="false">SUM(Y64:Y65,Y68)</f>
        <v>666442.416536232</v>
      </c>
      <c r="Z70" s="119" t="n">
        <f aca="false">SUM(Z64:Z65,Z68)</f>
        <v>898452.491523189</v>
      </c>
      <c r="AA70" s="119" t="n">
        <f aca="false">SUM(AA64:AA65,AA68)</f>
        <v>861161.12902971</v>
      </c>
      <c r="AB70" s="119" t="n">
        <f aca="false">SUM(AB64:AB65,AB68)</f>
        <v>666442.416536232</v>
      </c>
      <c r="AC70" s="119" t="n">
        <f aca="false">SUM(AC64:AC65,AC68)</f>
        <v>674704.316562319</v>
      </c>
      <c r="AD70" s="119" t="n">
        <f aca="false">SUM(AD64:AD65,AD68)</f>
        <v>775021.656562319</v>
      </c>
      <c r="AE70" s="119" t="n">
        <f aca="false">SUM(AE64:AE65,AE68)</f>
        <v>792494.371549276</v>
      </c>
      <c r="AF70" s="119" t="n">
        <f aca="false">SUM(AF64:AF65,AF68)</f>
        <v>1049489.05033824</v>
      </c>
      <c r="AG70" s="119" t="n">
        <f aca="false">SUM(AG64:AG65,AG68)</f>
        <v>1250476.53257598</v>
      </c>
      <c r="AH70" s="119" t="n">
        <f aca="false">SUM(AH64:AH65,AH68)</f>
        <v>1185623.06381373</v>
      </c>
      <c r="AI70" s="119" t="n">
        <f aca="false">SUM(AI64:AI65,AI68)</f>
        <v>1546115.11665147</v>
      </c>
      <c r="AJ70" s="119" t="n">
        <f aca="false">SUM(AJ64:AJ65,AJ68)</f>
        <v>1250476.53257598</v>
      </c>
      <c r="AK70" s="119" t="n">
        <f aca="false">SUM(AK64:AK65,AK68)</f>
        <v>1049489.05033824</v>
      </c>
      <c r="AL70" s="119" t="n">
        <f aca="false">SUM(AL64:AL65,AL68)</f>
        <v>1301195.18461373</v>
      </c>
      <c r="AM70" s="119" t="n">
        <f aca="false">SUM(AM64:AM65,AM68)</f>
        <v>1259712.27297598</v>
      </c>
      <c r="AN70" s="119" t="n">
        <f aca="false">SUM(AN64:AN65,AN68)</f>
        <v>1049489.05033824</v>
      </c>
      <c r="AO70" s="119" t="n">
        <f aca="false">SUM(AO64:AO65,AO68)</f>
        <v>1052297.71478726</v>
      </c>
      <c r="AP70" s="119" t="n">
        <f aca="false">SUM(AP64:AP65,AP68)</f>
        <v>1158634.09518726</v>
      </c>
      <c r="AQ70" s="119" t="n">
        <f aca="false">SUM(AQ64:AQ65,AQ68)</f>
        <v>1179195.98786275</v>
      </c>
    </row>
    <row r="72" customFormat="false" ht="15" hidden="false" customHeight="false" outlineLevel="0" collapsed="false">
      <c r="C72" s="104" t="s">
        <v>813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8C1C6"/>
    <pageSetUpPr fitToPage="false"/>
  </sheetPr>
  <dimension ref="A1:Z2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2.5"/>
    <col collapsed="false" customWidth="true" hidden="false" outlineLevel="0" max="3" min="3" style="0" width="43"/>
    <col collapsed="false" customWidth="true" hidden="false" outlineLevel="0" max="7" min="4" style="0" width="14"/>
    <col collapsed="false" customWidth="true" hidden="false" outlineLevel="0" max="8" min="8" style="0" width="37"/>
    <col collapsed="false" customWidth="true" hidden="false" outlineLevel="0" max="9" min="9" style="0" width="20"/>
    <col collapsed="false" customWidth="true" hidden="false" outlineLevel="0" max="13" min="10" style="0" width="14"/>
  </cols>
  <sheetData>
    <row r="1" customFormat="false" ht="21" hidden="false" customHeight="true" outlineLevel="0" collapsed="false">
      <c r="A1" s="123"/>
      <c r="B1" s="123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</row>
    <row r="2" customFormat="false" ht="30" hidden="false" customHeight="true" outlineLevel="0" collapsed="false">
      <c r="A2" s="123"/>
      <c r="B2" s="123"/>
      <c r="C2" s="124" t="s">
        <v>814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</row>
    <row r="3" customFormat="false" ht="21" hidden="false" customHeight="true" outlineLevel="0" collapsed="false">
      <c r="A3" s="123"/>
      <c r="B3" s="123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</row>
    <row r="4" customFormat="false" ht="21" hidden="false" customHeight="true" outlineLevel="0" collapsed="false">
      <c r="A4" s="123"/>
      <c r="B4" s="123"/>
      <c r="C4" s="74" t="s">
        <v>580</v>
      </c>
      <c r="D4" s="74" t="str">
        <f aca="false">'W Assumptions'!D3</f>
        <v>Base</v>
      </c>
      <c r="E4" s="74"/>
      <c r="F4" s="74"/>
      <c r="G4" s="74"/>
      <c r="H4" s="74"/>
      <c r="I4" s="74"/>
      <c r="J4" s="74"/>
      <c r="K4" s="74"/>
      <c r="L4" s="74"/>
      <c r="M4" s="74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</row>
    <row r="5" customFormat="false" ht="21" hidden="false" customHeight="true" outlineLevel="0" collapsed="false">
      <c r="A5" s="123"/>
      <c r="B5" s="123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</row>
    <row r="6" customFormat="false" ht="33.75" hidden="false" customHeight="true" outlineLevel="0" collapsed="false">
      <c r="A6" s="123"/>
      <c r="B6" s="123"/>
      <c r="C6" s="78" t="s">
        <v>761</v>
      </c>
      <c r="D6" s="85" t="s">
        <v>715</v>
      </c>
      <c r="E6" s="85" t="s">
        <v>716</v>
      </c>
      <c r="F6" s="85" t="s">
        <v>717</v>
      </c>
      <c r="G6" s="79"/>
      <c r="H6" s="85" t="s">
        <v>815</v>
      </c>
      <c r="I6" s="85" t="s">
        <v>816</v>
      </c>
      <c r="J6" s="79"/>
      <c r="K6" s="79"/>
      <c r="L6" s="79"/>
      <c r="M6" s="79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</row>
    <row r="7" customFormat="false" ht="21" hidden="false" customHeight="true" outlineLevel="0" collapsed="false">
      <c r="A7" s="123"/>
      <c r="B7" s="123"/>
      <c r="C7" s="74" t="s">
        <v>762</v>
      </c>
      <c r="D7" s="79" t="n">
        <f aca="false">'W Financial Model'!D7</f>
        <v>12180785.5450923</v>
      </c>
      <c r="E7" s="79" t="n">
        <f aca="false">'W Financial Model'!E7</f>
        <v>17795457.1478261</v>
      </c>
      <c r="F7" s="79" t="n">
        <f aca="false">'W Financial Model'!F7</f>
        <v>19449311.7872417</v>
      </c>
      <c r="G7" s="79"/>
      <c r="H7" s="79" t="s">
        <v>817</v>
      </c>
      <c r="I7" s="125" t="n">
        <f aca="false">MAX(0,-MIN('W Cash Flow'!H42:AQ42))</f>
        <v>3165779.18597515</v>
      </c>
      <c r="J7" s="79"/>
      <c r="K7" s="79"/>
      <c r="L7" s="79"/>
      <c r="M7" s="79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</row>
    <row r="8" customFormat="false" ht="21" hidden="false" customHeight="true" outlineLevel="0" collapsed="false">
      <c r="A8" s="123"/>
      <c r="B8" s="123"/>
      <c r="C8" s="74" t="s">
        <v>763</v>
      </c>
      <c r="D8" s="79" t="n">
        <f aca="false">'W Financial Model'!D8</f>
        <v>874300</v>
      </c>
      <c r="E8" s="79" t="n">
        <f aca="false">'W Financial Model'!E8</f>
        <v>2902000</v>
      </c>
      <c r="F8" s="79" t="n">
        <f aca="false">'W Financial Model'!F8</f>
        <v>6759000</v>
      </c>
      <c r="G8" s="79"/>
      <c r="H8" s="79" t="s">
        <v>818</v>
      </c>
      <c r="I8" s="79" t="n">
        <f aca="false">'W Assumptions'!D56*(MAX('W Financial Model'!H12:AQ12)+MAX('W Financial Model'!H13:AQ13)+MAX('W Financial Model'!H15:AQ15)+MAX('W Financial Model'!H25:AQ25)+MAX('W Financial Model'!H26:AQ26)+MAX('W Financial Model'!H29:AQ29))</f>
        <v>1791844.59</v>
      </c>
      <c r="J8" s="79"/>
      <c r="K8" s="79"/>
      <c r="L8" s="79"/>
      <c r="M8" s="79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</row>
    <row r="9" customFormat="false" ht="21" hidden="false" customHeight="true" outlineLevel="0" collapsed="false">
      <c r="A9" s="123"/>
      <c r="B9" s="123"/>
      <c r="C9" s="74" t="s">
        <v>764</v>
      </c>
      <c r="D9" s="79" t="n">
        <f aca="false">'W Financial Model'!D9</f>
        <v>1623700</v>
      </c>
      <c r="E9" s="79" t="n">
        <f aca="false">'W Financial Model'!E9</f>
        <v>4353000</v>
      </c>
      <c r="F9" s="79" t="n">
        <f aca="false">'W Financial Model'!F9</f>
        <v>8261000</v>
      </c>
      <c r="G9" s="79"/>
      <c r="H9" s="79" t="s">
        <v>819</v>
      </c>
      <c r="I9" s="79" t="n">
        <f aca="false">SUM('W Cash Flow'!H46:AQ46)</f>
        <v>642600</v>
      </c>
      <c r="J9" s="79"/>
      <c r="K9" s="79"/>
      <c r="L9" s="79"/>
      <c r="M9" s="79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</row>
    <row r="10" customFormat="false" ht="21" hidden="false" customHeight="true" outlineLevel="0" collapsed="false">
      <c r="A10" s="123"/>
      <c r="B10" s="123"/>
      <c r="C10" s="86" t="s">
        <v>765</v>
      </c>
      <c r="D10" s="110" t="n">
        <f aca="false">'W Financial Model'!D10</f>
        <v>14678785.5450923</v>
      </c>
      <c r="E10" s="110" t="n">
        <f aca="false">'W Financial Model'!E10</f>
        <v>25050457.1478261</v>
      </c>
      <c r="F10" s="110" t="n">
        <f aca="false">'W Financial Model'!F10</f>
        <v>34469311.7872417</v>
      </c>
      <c r="G10" s="110"/>
      <c r="H10" s="110" t="s">
        <v>820</v>
      </c>
      <c r="I10" s="110" t="n">
        <f aca="false">SUM(I7:I9)</f>
        <v>5600223.77597515</v>
      </c>
      <c r="J10" s="79"/>
      <c r="K10" s="79"/>
      <c r="L10" s="79"/>
      <c r="M10" s="79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</row>
    <row r="11" customFormat="false" ht="21" hidden="false" customHeight="true" outlineLevel="0" collapsed="false">
      <c r="A11" s="123"/>
      <c r="B11" s="123"/>
      <c r="C11" s="74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</row>
    <row r="12" customFormat="false" ht="28.5" hidden="false" customHeight="true" outlineLevel="0" collapsed="false">
      <c r="A12" s="123"/>
      <c r="B12" s="123"/>
      <c r="C12" s="111" t="s">
        <v>821</v>
      </c>
      <c r="D12" s="79" t="n">
        <f aca="false">'W Financial Model'!D31</f>
        <v>10053729.734471</v>
      </c>
      <c r="E12" s="79" t="n">
        <f aca="false">'W Financial Model'!E31</f>
        <v>14815497.3493913</v>
      </c>
      <c r="F12" s="79" t="n">
        <f aca="false">'W Financial Model'!F31</f>
        <v>18574863.5751829</v>
      </c>
      <c r="G12" s="79"/>
      <c r="H12" s="79"/>
      <c r="I12" s="79"/>
      <c r="J12" s="79"/>
      <c r="K12" s="79"/>
      <c r="L12" s="79"/>
      <c r="M12" s="79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</row>
    <row r="13" customFormat="false" ht="28.5" hidden="false" customHeight="true" outlineLevel="0" collapsed="false">
      <c r="A13" s="123"/>
      <c r="B13" s="123"/>
      <c r="C13" s="111" t="s">
        <v>822</v>
      </c>
      <c r="D13" s="79" t="n">
        <f aca="false">'W Financial Model'!D29</f>
        <v>238700</v>
      </c>
      <c r="E13" s="79" t="n">
        <f aca="false">'W Financial Model'!E29</f>
        <v>260400</v>
      </c>
      <c r="F13" s="79" t="n">
        <f aca="false">'W Financial Model'!F29</f>
        <v>260400</v>
      </c>
      <c r="G13" s="79"/>
      <c r="H13" s="79"/>
      <c r="I13" s="79"/>
      <c r="J13" s="79"/>
      <c r="K13" s="79"/>
      <c r="L13" s="79"/>
      <c r="M13" s="79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</row>
    <row r="14" customFormat="false" ht="21" hidden="false" customHeight="true" outlineLevel="0" collapsed="false">
      <c r="A14" s="123"/>
      <c r="B14" s="123"/>
      <c r="C14" s="74" t="s">
        <v>823</v>
      </c>
      <c r="D14" s="79" t="n">
        <f aca="false">'W Financial Model'!D30</f>
        <v>248042.221026848</v>
      </c>
      <c r="E14" s="79" t="n">
        <f aca="false">'W Financial Model'!E30</f>
        <v>519449.989391305</v>
      </c>
      <c r="F14" s="79" t="n">
        <f aca="false">'W Financial Model'!F30</f>
        <v>755816.674318887</v>
      </c>
      <c r="G14" s="79"/>
      <c r="H14" s="79"/>
      <c r="I14" s="79"/>
      <c r="J14" s="79"/>
      <c r="K14" s="79"/>
      <c r="L14" s="79"/>
      <c r="M14" s="79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</row>
    <row r="15" customFormat="false" ht="21" hidden="false" customHeight="true" outlineLevel="0" collapsed="false">
      <c r="A15" s="123"/>
      <c r="B15" s="123"/>
      <c r="C15" s="74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</row>
    <row r="16" customFormat="false" ht="21" hidden="false" customHeight="true" outlineLevel="0" collapsed="false">
      <c r="A16" s="123"/>
      <c r="B16" s="123"/>
      <c r="C16" s="86" t="s">
        <v>785</v>
      </c>
      <c r="D16" s="110" t="n">
        <f aca="false">'W Financial Model'!D32</f>
        <v>4625055.81062123</v>
      </c>
      <c r="E16" s="110" t="n">
        <f aca="false">'W Financial Model'!E32</f>
        <v>10234959.7984348</v>
      </c>
      <c r="F16" s="110" t="n">
        <f aca="false">'W Financial Model'!F32</f>
        <v>15894448.2120589</v>
      </c>
      <c r="G16" s="79"/>
      <c r="H16" s="79"/>
      <c r="I16" s="79"/>
      <c r="J16" s="79"/>
      <c r="K16" s="79"/>
      <c r="L16" s="79"/>
      <c r="M16" s="79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</row>
    <row r="17" customFormat="false" ht="21" hidden="false" customHeight="true" outlineLevel="0" collapsed="false">
      <c r="A17" s="123"/>
      <c r="B17" s="123"/>
      <c r="C17" s="74" t="s">
        <v>786</v>
      </c>
      <c r="D17" s="114" t="n">
        <f aca="false">'W Financial Model'!D33</f>
        <v>0.315084364194392</v>
      </c>
      <c r="E17" s="114" t="n">
        <f aca="false">'W Financial Model'!E33</f>
        <v>0.408573773246409</v>
      </c>
      <c r="F17" s="114" t="n">
        <f aca="false">'W Financial Model'!F33</f>
        <v>0.46111881519903</v>
      </c>
      <c r="G17" s="79"/>
      <c r="H17" s="79"/>
      <c r="I17" s="79"/>
      <c r="J17" s="79"/>
      <c r="K17" s="79"/>
      <c r="L17" s="79"/>
      <c r="M17" s="79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</row>
    <row r="18" customFormat="false" ht="21" hidden="false" customHeight="true" outlineLevel="0" collapsed="false">
      <c r="A18" s="123"/>
      <c r="B18" s="123"/>
      <c r="C18" s="86" t="s">
        <v>788</v>
      </c>
      <c r="D18" s="110" t="n">
        <f aca="false">'W Financial Model'!D36</f>
        <v>4065302.09838365</v>
      </c>
      <c r="E18" s="110" t="n">
        <f aca="false">'W Financial Model'!E36</f>
        <v>9402639.79843478</v>
      </c>
      <c r="F18" s="110" t="n">
        <f aca="false">'W Financial Model'!F36</f>
        <v>15037648.2120589</v>
      </c>
      <c r="G18" s="79"/>
      <c r="H18" s="79"/>
      <c r="I18" s="79"/>
      <c r="J18" s="79"/>
      <c r="K18" s="79"/>
      <c r="L18" s="79"/>
      <c r="M18" s="79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</row>
    <row r="19" customFormat="false" ht="21" hidden="false" customHeight="true" outlineLevel="0" collapsed="false">
      <c r="A19" s="123"/>
      <c r="B19" s="123"/>
      <c r="C19" s="74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</row>
    <row r="20" customFormat="false" ht="21" hidden="false" customHeight="true" outlineLevel="0" collapsed="false">
      <c r="A20" s="123"/>
      <c r="B20" s="123"/>
      <c r="C20" s="74" t="s">
        <v>789</v>
      </c>
      <c r="D20" s="79" t="n">
        <f aca="false">'W Financial Model'!D38</f>
        <v>4080000</v>
      </c>
      <c r="E20" s="79" t="n">
        <f aca="false">'W Financial Model'!E38</f>
        <v>81600</v>
      </c>
      <c r="F20" s="79" t="n">
        <f aca="false">'W Financial Model'!F38</f>
        <v>122400</v>
      </c>
      <c r="G20" s="79"/>
      <c r="H20" s="79"/>
      <c r="I20" s="79"/>
      <c r="J20" s="79"/>
      <c r="K20" s="79"/>
      <c r="L20" s="79"/>
      <c r="M20" s="79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</row>
    <row r="21" customFormat="false" ht="21" hidden="false" customHeight="true" outlineLevel="0" collapsed="false">
      <c r="A21" s="123"/>
      <c r="B21" s="123"/>
      <c r="C21" s="74" t="s">
        <v>790</v>
      </c>
      <c r="D21" s="79" t="n">
        <f aca="false">'W Financial Model'!D39</f>
        <v>230000</v>
      </c>
      <c r="E21" s="79" t="n">
        <f aca="false">'W Financial Model'!E39</f>
        <v>0</v>
      </c>
      <c r="F21" s="79" t="n">
        <f aca="false">'W Financial Model'!F39</f>
        <v>0</v>
      </c>
      <c r="G21" s="79"/>
      <c r="H21" s="79"/>
      <c r="I21" s="79"/>
      <c r="J21" s="79"/>
      <c r="K21" s="79"/>
      <c r="L21" s="79"/>
      <c r="M21" s="79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</row>
    <row r="22" customFormat="false" ht="21" hidden="false" customHeight="true" outlineLevel="0" collapsed="false">
      <c r="A22" s="123"/>
      <c r="B22" s="123"/>
      <c r="C22" s="86" t="s">
        <v>824</v>
      </c>
      <c r="D22" s="126" t="n">
        <f aca="false">'W Cash Flow'!D41</f>
        <v>139404.421872183</v>
      </c>
      <c r="E22" s="126" t="n">
        <f aca="false">'W Cash Flow'!E41</f>
        <v>9822820.62385484</v>
      </c>
      <c r="F22" s="126" t="n">
        <f aca="false">'W Cash Flow'!F41</f>
        <v>14953348.7754872</v>
      </c>
      <c r="G22" s="79"/>
      <c r="H22" s="79"/>
      <c r="I22" s="79"/>
      <c r="J22" s="79"/>
      <c r="K22" s="79"/>
      <c r="L22" s="79"/>
      <c r="M22" s="79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</row>
    <row r="23" customFormat="false" ht="28.5" hidden="false" customHeight="true" outlineLevel="0" collapsed="false">
      <c r="A23" s="123"/>
      <c r="B23" s="123"/>
      <c r="C23" s="127" t="s">
        <v>825</v>
      </c>
      <c r="D23" s="126" t="n">
        <f aca="false">'W Cash Flow'!D42</f>
        <v>139404.421872183</v>
      </c>
      <c r="E23" s="126" t="n">
        <f aca="false">'W Cash Flow'!E42</f>
        <v>9962225.04572703</v>
      </c>
      <c r="F23" s="126" t="n">
        <f aca="false">'W Cash Flow'!F42</f>
        <v>24915573.8212142</v>
      </c>
      <c r="G23" s="79"/>
      <c r="H23" s="79"/>
      <c r="I23" s="79"/>
      <c r="J23" s="79"/>
      <c r="K23" s="79"/>
      <c r="L23" s="79"/>
      <c r="M23" s="79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</row>
    <row r="24" customFormat="false" ht="21" hidden="false" customHeight="true" outlineLevel="0" collapsed="false">
      <c r="A24" s="123"/>
      <c r="B24" s="123"/>
      <c r="C24" s="74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</row>
    <row r="25" customFormat="false" ht="21" hidden="false" customHeight="true" outlineLevel="0" collapsed="false">
      <c r="A25" s="123"/>
      <c r="B25" s="123"/>
      <c r="C25" s="74" t="s">
        <v>826</v>
      </c>
      <c r="D25" s="79" t="n">
        <f aca="false">'W Cash Flow'!D33</f>
        <v>300657.795728452</v>
      </c>
      <c r="E25" s="79" t="n">
        <f aca="false">'W Cash Flow'!E33</f>
        <v>643758.677055073</v>
      </c>
      <c r="F25" s="79" t="n">
        <f aca="false">'W Cash Flow'!F33</f>
        <v>1240191.60582753</v>
      </c>
      <c r="G25" s="79"/>
      <c r="H25" s="79"/>
      <c r="I25" s="79"/>
      <c r="J25" s="79"/>
      <c r="K25" s="79"/>
      <c r="L25" s="79"/>
      <c r="M25" s="79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</row>
    <row r="26" customFormat="false" ht="21" hidden="false" customHeight="true" outlineLevel="0" collapsed="false">
      <c r="A26" s="123"/>
      <c r="B26" s="123"/>
      <c r="C26" s="74" t="s">
        <v>827</v>
      </c>
      <c r="D26" s="125" t="n">
        <f aca="false">'W Cash Flow'!D35</f>
        <v>83640.1287185355</v>
      </c>
      <c r="E26" s="125" t="n">
        <f aca="false">'W Cash Flow'!E35</f>
        <v>121161.044456522</v>
      </c>
      <c r="F26" s="125" t="n">
        <f aca="false">'W Cash Flow'!F35</f>
        <v>178800.451991435</v>
      </c>
      <c r="G26" s="79"/>
      <c r="H26" s="79"/>
      <c r="I26" s="79"/>
      <c r="J26" s="79"/>
      <c r="K26" s="79"/>
      <c r="L26" s="79"/>
      <c r="M26" s="79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</row>
    <row r="27" customFormat="false" ht="21" hidden="false" customHeight="true" outlineLevel="0" collapsed="false">
      <c r="A27" s="123"/>
      <c r="B27" s="123"/>
      <c r="C27" s="74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</row>
    <row r="28" customFormat="false" ht="21" hidden="false" customHeight="true" outlineLevel="0" collapsed="false">
      <c r="A28" s="123"/>
      <c r="B28" s="123"/>
      <c r="C28" s="74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</row>
    <row r="29" customFormat="false" ht="21" hidden="false" customHeight="true" outlineLevel="0" collapsed="false">
      <c r="A29" s="123"/>
      <c r="B29" s="123"/>
      <c r="C29" s="128" t="s">
        <v>828</v>
      </c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</row>
    <row r="30" customFormat="false" ht="21" hidden="false" customHeight="true" outlineLevel="0" collapsed="false">
      <c r="A30" s="123"/>
      <c r="B30" s="123"/>
      <c r="C30" s="128" t="s">
        <v>829</v>
      </c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</row>
    <row r="31" customFormat="false" ht="21" hidden="false" customHeight="true" outlineLevel="0" collapsed="false">
      <c r="A31" s="123"/>
      <c r="B31" s="123"/>
      <c r="C31" s="128" t="s">
        <v>830</v>
      </c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</row>
    <row r="32" customFormat="false" ht="21" hidden="false" customHeight="true" outlineLevel="0" collapsed="false">
      <c r="A32" s="123"/>
      <c r="B32" s="123"/>
      <c r="C32" s="128" t="s">
        <v>831</v>
      </c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</row>
    <row r="33" customFormat="false" ht="21" hidden="false" customHeight="true" outlineLevel="0" collapsed="false">
      <c r="A33" s="123"/>
      <c r="B33" s="123"/>
      <c r="C33" s="74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</row>
    <row r="34" customFormat="false" ht="21" hidden="false" customHeight="true" outlineLevel="0" collapsed="false">
      <c r="A34" s="123"/>
      <c r="B34" s="123"/>
      <c r="C34" s="74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</row>
    <row r="35" customFormat="false" ht="21" hidden="false" customHeight="true" outlineLevel="0" collapsed="false">
      <c r="A35" s="123"/>
      <c r="B35" s="123"/>
      <c r="C35" s="74"/>
      <c r="D35" s="79"/>
      <c r="E35" s="79"/>
      <c r="F35" s="79"/>
      <c r="G35" s="79"/>
      <c r="H35" s="79" t="s">
        <v>832</v>
      </c>
      <c r="I35" s="79" t="s">
        <v>833</v>
      </c>
      <c r="J35" s="79" t="s">
        <v>408</v>
      </c>
      <c r="K35" s="79"/>
      <c r="L35" s="79"/>
      <c r="M35" s="79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</row>
    <row r="36" customFormat="false" ht="21" hidden="false" customHeight="true" outlineLevel="0" collapsed="false">
      <c r="A36" s="123"/>
      <c r="B36" s="123"/>
      <c r="C36" s="74"/>
      <c r="D36" s="79"/>
      <c r="E36" s="79"/>
      <c r="F36" s="79"/>
      <c r="G36" s="79"/>
      <c r="H36" s="79" t="s">
        <v>715</v>
      </c>
      <c r="I36" s="79" t="n">
        <f aca="false">D10</f>
        <v>14678785.5450923</v>
      </c>
      <c r="J36" s="79" t="n">
        <f aca="false">D16</f>
        <v>4625055.81062123</v>
      </c>
      <c r="K36" s="79"/>
      <c r="L36" s="79"/>
      <c r="M36" s="79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</row>
    <row r="37" customFormat="false" ht="21" hidden="false" customHeight="true" outlineLevel="0" collapsed="false">
      <c r="A37" s="123"/>
      <c r="B37" s="123"/>
      <c r="C37" s="74"/>
      <c r="D37" s="79"/>
      <c r="E37" s="79"/>
      <c r="F37" s="79"/>
      <c r="G37" s="79"/>
      <c r="H37" s="79" t="s">
        <v>716</v>
      </c>
      <c r="I37" s="79" t="n">
        <f aca="false">E10</f>
        <v>25050457.1478261</v>
      </c>
      <c r="J37" s="79" t="n">
        <f aca="false">E16</f>
        <v>10234959.7984348</v>
      </c>
      <c r="K37" s="79"/>
      <c r="L37" s="79"/>
      <c r="M37" s="79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</row>
    <row r="38" customFormat="false" ht="21" hidden="false" customHeight="true" outlineLevel="0" collapsed="false">
      <c r="A38" s="123"/>
      <c r="B38" s="123"/>
      <c r="C38" s="74"/>
      <c r="D38" s="79"/>
      <c r="E38" s="79"/>
      <c r="F38" s="79"/>
      <c r="G38" s="79"/>
      <c r="H38" s="79" t="s">
        <v>717</v>
      </c>
      <c r="I38" s="79" t="n">
        <f aca="false">F10</f>
        <v>34469311.7872417</v>
      </c>
      <c r="J38" s="79" t="n">
        <f aca="false">F16</f>
        <v>15894448.2120589</v>
      </c>
      <c r="K38" s="79"/>
      <c r="L38" s="79"/>
      <c r="M38" s="79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</row>
    <row r="39" customFormat="false" ht="15" hidden="false" customHeight="false" outlineLevel="0" collapsed="false">
      <c r="A39" s="123"/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</row>
    <row r="40" customFormat="false" ht="15" hidden="false" customHeight="false" outlineLevel="0" collapsed="false">
      <c r="A40" s="123"/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</row>
    <row r="41" customFormat="false" ht="15" hidden="false" customHeight="false" outlineLevel="0" collapsed="false">
      <c r="A41" s="123"/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</row>
    <row r="42" customFormat="false" ht="39.75" hidden="false" customHeight="true" outlineLevel="0" collapsed="false">
      <c r="A42" s="123"/>
      <c r="B42" s="123"/>
      <c r="C42" s="97" t="s">
        <v>834</v>
      </c>
      <c r="D42" s="97" t="s">
        <v>715</v>
      </c>
      <c r="E42" s="97" t="s">
        <v>716</v>
      </c>
      <c r="F42" s="97" t="s">
        <v>717</v>
      </c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</row>
    <row r="43" customFormat="false" ht="15" hidden="false" customHeight="false" outlineLevel="0" collapsed="false">
      <c r="A43" s="123"/>
      <c r="B43" s="123"/>
      <c r="C43" s="123" t="s">
        <v>835</v>
      </c>
      <c r="D43" s="129" t="n">
        <f aca="false">SUM('W Fees &amp; KPI'!E6:E17)</f>
        <v>165000</v>
      </c>
      <c r="E43" s="129" t="n">
        <f aca="false">SUM('W Fees &amp; KPI'!E18:E29)</f>
        <v>180000</v>
      </c>
      <c r="F43" s="129" t="n">
        <f aca="false">SUM('W Fees &amp; KPI'!E30:E41)</f>
        <v>180000</v>
      </c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</row>
    <row r="44" customFormat="false" ht="15" hidden="false" customHeight="false" outlineLevel="0" collapsed="false">
      <c r="A44" s="123"/>
      <c r="B44" s="123"/>
      <c r="C44" s="123" t="s">
        <v>836</v>
      </c>
      <c r="D44" s="129" t="n">
        <f aca="false">SUM('W Fees &amp; KPI'!F6:F17)</f>
        <v>44000</v>
      </c>
      <c r="E44" s="129" t="n">
        <f aca="false">SUM('W Fees &amp; KPI'!F18:F29)</f>
        <v>48000</v>
      </c>
      <c r="F44" s="129" t="n">
        <f aca="false">SUM('W Fees &amp; KPI'!F30:F41)</f>
        <v>48000</v>
      </c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</row>
    <row r="45" customFormat="false" ht="15" hidden="false" customHeight="false" outlineLevel="0" collapsed="false">
      <c r="A45" s="123"/>
      <c r="B45" s="123"/>
      <c r="C45" s="130" t="s">
        <v>837</v>
      </c>
      <c r="D45" s="131" t="n">
        <f aca="false">SUM(D43:D44)</f>
        <v>209000</v>
      </c>
      <c r="E45" s="131" t="n">
        <f aca="false">SUM(E43:E44)</f>
        <v>228000</v>
      </c>
      <c r="F45" s="131" t="n">
        <f aca="false">SUM(F43:F44)</f>
        <v>228000</v>
      </c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</row>
    <row r="46" customFormat="false" ht="15" hidden="false" customHeight="false" outlineLevel="0" collapsed="false">
      <c r="A46" s="123"/>
      <c r="B46" s="123"/>
      <c r="C46" s="123" t="s">
        <v>838</v>
      </c>
      <c r="D46" s="129" t="n">
        <f aca="false">SUM('W Fees &amp; KPI'!Q6:Q17)</f>
        <v>196561.846026848</v>
      </c>
      <c r="E46" s="129" t="n">
        <f aca="false">SUM('W Fees &amp; KPI'!Q18:Q29)</f>
        <v>347473.489391305</v>
      </c>
      <c r="F46" s="129" t="n">
        <f aca="false">SUM('W Fees &amp; KPI'!Q30:Q41)</f>
        <v>400060.924318887</v>
      </c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</row>
    <row r="47" customFormat="false" ht="15" hidden="false" customHeight="false" outlineLevel="0" collapsed="false">
      <c r="A47" s="123"/>
      <c r="B47" s="123"/>
      <c r="C47" s="123" t="s">
        <v>839</v>
      </c>
      <c r="D47" s="129" t="n">
        <f aca="false">SUM('W Fees &amp; KPI'!R6:R17)</f>
        <v>51480.375</v>
      </c>
      <c r="E47" s="129" t="n">
        <f aca="false">SUM('W Fees &amp; KPI'!R18:R29)</f>
        <v>171976.5</v>
      </c>
      <c r="F47" s="129" t="n">
        <f aca="false">SUM('W Fees &amp; KPI'!R30:R41)</f>
        <v>355755.75</v>
      </c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</row>
    <row r="48" customFormat="false" ht="28.5" hidden="false" customHeight="true" outlineLevel="0" collapsed="false">
      <c r="A48" s="123"/>
      <c r="B48" s="123"/>
      <c r="C48" s="132" t="s">
        <v>840</v>
      </c>
      <c r="D48" s="131" t="n">
        <f aca="false">SUM(D45:D47)</f>
        <v>457042.221026848</v>
      </c>
      <c r="E48" s="131" t="n">
        <f aca="false">SUM(E45:E47)</f>
        <v>747449.989391305</v>
      </c>
      <c r="F48" s="131" t="n">
        <f aca="false">SUM(F45:F47)</f>
        <v>983816.674318887</v>
      </c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</row>
    <row r="49" customFormat="false" ht="15" hidden="false" customHeight="false" outlineLevel="0" collapsed="false">
      <c r="A49" s="123"/>
      <c r="B49" s="123"/>
      <c r="C49" s="123" t="s">
        <v>841</v>
      </c>
      <c r="D49" s="129" t="n">
        <f aca="false">SUM('W Fees &amp; KPI'!T6:T17)</f>
        <v>164402.092308313</v>
      </c>
      <c r="E49" s="129" t="n">
        <f aca="false">SUM('W Fees &amp; KPI'!T18:T29)</f>
        <v>481929.073653318</v>
      </c>
      <c r="F49" s="129" t="n">
        <f aca="false">SUM('W Fees &amp; KPI'!T30:T41)</f>
        <v>698177.266783974</v>
      </c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</row>
    <row r="50" customFormat="false" ht="15" hidden="false" customHeight="false" outlineLevel="0" collapsed="false">
      <c r="A50" s="123"/>
      <c r="B50" s="123"/>
      <c r="C50" s="130" t="s">
        <v>842</v>
      </c>
      <c r="D50" s="131" t="n">
        <f aca="false">SUM(D45,D49)</f>
        <v>373402.092308313</v>
      </c>
      <c r="E50" s="131" t="n">
        <f aca="false">SUM(E45,E49)</f>
        <v>709929.073653318</v>
      </c>
      <c r="F50" s="131" t="n">
        <f aca="false">SUM(F45,F49)</f>
        <v>926177.266783974</v>
      </c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</row>
    <row r="51" customFormat="false" ht="15" hidden="false" customHeight="false" outlineLevel="0" collapsed="false">
      <c r="A51" s="123"/>
      <c r="B51" s="123"/>
      <c r="C51" s="123"/>
      <c r="D51" s="133"/>
      <c r="E51" s="133"/>
      <c r="F51" s="13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</row>
    <row r="52" customFormat="false" ht="15" hidden="false" customHeight="false" outlineLevel="0" collapsed="false">
      <c r="A52" s="123"/>
      <c r="B52" s="123"/>
      <c r="C52" s="123" t="s">
        <v>843</v>
      </c>
      <c r="D52" s="129" t="n">
        <f aca="false">'W TLI JV'!D16</f>
        <v>274785</v>
      </c>
      <c r="E52" s="129" t="n">
        <f aca="false">'W TLI JV'!E16</f>
        <v>1511920</v>
      </c>
      <c r="F52" s="129" t="n">
        <f aca="false">'W TLI JV'!F16</f>
        <v>3905636.4</v>
      </c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</row>
    <row r="53" customFormat="false" ht="15" hidden="false" customHeight="false" outlineLevel="0" collapsed="false">
      <c r="A53" s="123"/>
      <c r="B53" s="123"/>
      <c r="C53" s="123" t="s">
        <v>844</v>
      </c>
      <c r="D53" s="129" t="n">
        <f aca="false">'W TLI JV'!D19</f>
        <v>109914</v>
      </c>
      <c r="E53" s="129" t="n">
        <f aca="false">'W TLI JV'!E19</f>
        <v>604768</v>
      </c>
      <c r="F53" s="129" t="n">
        <f aca="false">'W TLI JV'!F19</f>
        <v>1562254.56</v>
      </c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</row>
    <row r="54" customFormat="false" ht="15" hidden="false" customHeight="false" outlineLevel="0" collapsed="false">
      <c r="A54" s="123"/>
      <c r="B54" s="123"/>
      <c r="C54" s="123" t="s">
        <v>845</v>
      </c>
      <c r="D54" s="129" t="n">
        <f aca="false">'W TLI JV'!D18</f>
        <v>164871</v>
      </c>
      <c r="E54" s="129" t="n">
        <f aca="false">'W TLI JV'!E18</f>
        <v>907152</v>
      </c>
      <c r="F54" s="129" t="n">
        <f aca="false">'W TLI JV'!F18</f>
        <v>2343381.84</v>
      </c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</row>
    <row r="55" customFormat="false" ht="15" hidden="false" customHeight="false" outlineLevel="0" collapsed="false">
      <c r="A55" s="123"/>
      <c r="B55" s="123"/>
      <c r="C55" s="123"/>
      <c r="D55" s="133"/>
      <c r="E55" s="133"/>
      <c r="F55" s="13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</row>
    <row r="56" customFormat="false" ht="15" hidden="false" customHeight="false" outlineLevel="0" collapsed="false">
      <c r="A56" s="123"/>
      <c r="B56" s="123"/>
      <c r="C56" s="130" t="s">
        <v>846</v>
      </c>
      <c r="D56" s="131" t="n">
        <f aca="false">'W TLI JV'!D29</f>
        <v>137392.5</v>
      </c>
      <c r="E56" s="131" t="n">
        <f aca="false">'W TLI JV'!E29</f>
        <v>824656.25</v>
      </c>
      <c r="F56" s="131" t="n">
        <f aca="false">'W TLI JV'!F29</f>
        <v>2365146.325</v>
      </c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</row>
    <row r="57" customFormat="false" ht="15" hidden="false" customHeight="false" outlineLevel="0" collapsed="false">
      <c r="A57" s="123"/>
      <c r="B57" s="123"/>
      <c r="C57" s="123" t="s">
        <v>847</v>
      </c>
      <c r="D57" s="129" t="n">
        <f aca="false">'W TLI JV'!D38</f>
        <v>54957</v>
      </c>
      <c r="E57" s="129" t="n">
        <f aca="false">'W TLI JV'!E38</f>
        <v>329862.5</v>
      </c>
      <c r="F57" s="129" t="n">
        <f aca="false">'W TLI JV'!F38</f>
        <v>946058.53</v>
      </c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</row>
    <row r="58" customFormat="false" ht="15" hidden="false" customHeight="false" outlineLevel="0" collapsed="false">
      <c r="A58" s="123"/>
      <c r="B58" s="123"/>
      <c r="C58" s="123" t="s">
        <v>848</v>
      </c>
      <c r="D58" s="129" t="n">
        <f aca="false">'W TLI JV'!D37</f>
        <v>82435.5</v>
      </c>
      <c r="E58" s="129" t="n">
        <f aca="false">'W TLI JV'!E37</f>
        <v>494793.75</v>
      </c>
      <c r="F58" s="129" t="n">
        <f aca="false">'W TLI JV'!F37</f>
        <v>1419087.795</v>
      </c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</row>
    <row r="59" customFormat="false" ht="15" hidden="false" customHeight="false" outlineLevel="0" collapsed="false">
      <c r="A59" s="123"/>
      <c r="B59" s="123"/>
      <c r="C59" s="123"/>
      <c r="D59" s="133"/>
      <c r="E59" s="133"/>
      <c r="F59" s="13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</row>
    <row r="60" customFormat="false" ht="15" hidden="false" customHeight="false" outlineLevel="0" collapsed="false">
      <c r="A60" s="123"/>
      <c r="B60" s="123"/>
      <c r="C60" s="123" t="s">
        <v>849</v>
      </c>
      <c r="D60" s="129" t="n">
        <f aca="false">'W TLI JV'!D40</f>
        <v>0</v>
      </c>
      <c r="E60" s="129" t="n">
        <f aca="false">'W TLI JV'!E40</f>
        <v>54957</v>
      </c>
      <c r="F60" s="129" t="n">
        <f aca="false">'W TLI JV'!F40</f>
        <v>329862.5</v>
      </c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</row>
    <row r="61" customFormat="false" ht="15" hidden="false" customHeight="false" outlineLevel="0" collapsed="false">
      <c r="A61" s="123"/>
      <c r="B61" s="123"/>
      <c r="C61" s="123" t="s">
        <v>850</v>
      </c>
      <c r="D61" s="129" t="n">
        <f aca="false">'W TLI JV'!D39</f>
        <v>0</v>
      </c>
      <c r="E61" s="129" t="n">
        <f aca="false">'W TLI JV'!E39</f>
        <v>82435.5</v>
      </c>
      <c r="F61" s="129" t="n">
        <f aca="false">'W TLI JV'!F39</f>
        <v>494793.75</v>
      </c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</row>
    <row r="62" customFormat="false" ht="15" hidden="false" customHeight="false" outlineLevel="0" collapsed="false">
      <c r="A62" s="123"/>
      <c r="B62" s="123"/>
      <c r="C62" s="123"/>
      <c r="D62" s="133"/>
      <c r="E62" s="133"/>
      <c r="F62" s="13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</row>
    <row r="63" customFormat="false" ht="28.5" hidden="false" customHeight="true" outlineLevel="0" collapsed="false">
      <c r="A63" s="123"/>
      <c r="B63" s="123"/>
      <c r="C63" s="132" t="s">
        <v>851</v>
      </c>
      <c r="D63" s="131" t="n">
        <f aca="false">'W Financial Model'!D70</f>
        <v>4515141.81062123</v>
      </c>
      <c r="E63" s="131" t="n">
        <f aca="false">'W Financial Model'!E70</f>
        <v>9630191.79843479</v>
      </c>
      <c r="F63" s="131" t="n">
        <f aca="false">'W Financial Model'!F70</f>
        <v>14332193.6520589</v>
      </c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</row>
    <row r="64" customFormat="false" ht="15" hidden="false" customHeight="false" outlineLevel="0" collapsed="false">
      <c r="A64" s="123"/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</row>
    <row r="65" customFormat="false" ht="31.5" hidden="false" customHeight="true" outlineLevel="0" collapsed="false">
      <c r="A65" s="123"/>
      <c r="B65" s="123"/>
      <c r="C65" s="134" t="s">
        <v>852</v>
      </c>
      <c r="D65" s="134"/>
      <c r="E65" s="134"/>
      <c r="F65" s="134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</row>
    <row r="66" customFormat="false" ht="31.5" hidden="false" customHeight="true" outlineLevel="0" collapsed="false">
      <c r="A66" s="123"/>
      <c r="B66" s="123"/>
      <c r="C66" s="134" t="s">
        <v>853</v>
      </c>
      <c r="D66" s="134"/>
      <c r="E66" s="134"/>
      <c r="F66" s="134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</row>
    <row r="67" customFormat="false" ht="31.5" hidden="false" customHeight="true" outlineLevel="0" collapsed="false">
      <c r="A67" s="123"/>
      <c r="B67" s="123"/>
      <c r="C67" s="134" t="s">
        <v>854</v>
      </c>
      <c r="D67" s="134"/>
      <c r="E67" s="134"/>
      <c r="F67" s="134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</row>
    <row r="68" customFormat="false" ht="31.5" hidden="false" customHeight="true" outlineLevel="0" collapsed="false">
      <c r="A68" s="123"/>
      <c r="B68" s="123"/>
      <c r="C68" s="134" t="s">
        <v>855</v>
      </c>
      <c r="D68" s="134"/>
      <c r="E68" s="134"/>
      <c r="F68" s="134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</row>
    <row r="69" customFormat="false" ht="15" hidden="false" customHeight="false" outlineLevel="0" collapsed="false">
      <c r="A69" s="123"/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</row>
    <row r="70" customFormat="false" ht="15" hidden="false" customHeight="false" outlineLevel="0" collapsed="false">
      <c r="A70" s="123"/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</row>
    <row r="71" customFormat="false" ht="15" hidden="false" customHeight="false" outlineLevel="0" collapsed="false">
      <c r="A71" s="123"/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</row>
    <row r="72" customFormat="false" ht="15" hidden="false" customHeight="false" outlineLevel="0" collapsed="false">
      <c r="A72" s="123"/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</row>
    <row r="73" customFormat="false" ht="15" hidden="false" customHeight="false" outlineLevel="0" collapsed="false">
      <c r="A73" s="123"/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</row>
    <row r="74" customFormat="false" ht="15" hidden="false" customHeight="false" outlineLevel="0" collapsed="false">
      <c r="A74" s="123"/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</row>
    <row r="75" customFormat="false" ht="15" hidden="false" customHeight="false" outlineLevel="0" collapsed="false">
      <c r="A75" s="123"/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</row>
    <row r="76" customFormat="false" ht="15" hidden="false" customHeight="false" outlineLevel="0" collapsed="false">
      <c r="A76" s="123"/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</row>
    <row r="77" customFormat="false" ht="15" hidden="false" customHeight="false" outlineLevel="0" collapsed="false">
      <c r="A77" s="123"/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</row>
    <row r="78" customFormat="false" ht="15" hidden="false" customHeight="false" outlineLevel="0" collapsed="false">
      <c r="A78" s="123"/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</row>
    <row r="79" customFormat="false" ht="15" hidden="false" customHeight="false" outlineLevel="0" collapsed="false">
      <c r="A79" s="123"/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</row>
    <row r="80" customFormat="false" ht="15" hidden="false" customHeight="false" outlineLevel="0" collapsed="false">
      <c r="A80" s="123"/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</row>
    <row r="81" customFormat="false" ht="15" hidden="false" customHeight="false" outlineLevel="0" collapsed="false">
      <c r="A81" s="123"/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</row>
    <row r="82" customFormat="false" ht="15" hidden="false" customHeight="false" outlineLevel="0" collapsed="false">
      <c r="A82" s="123"/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</row>
    <row r="83" customFormat="false" ht="15" hidden="false" customHeight="false" outlineLevel="0" collapsed="false">
      <c r="A83" s="123"/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</row>
    <row r="84" customFormat="false" ht="15" hidden="false" customHeight="false" outlineLevel="0" collapsed="false">
      <c r="A84" s="123"/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</row>
    <row r="85" customFormat="false" ht="15" hidden="false" customHeight="false" outlineLevel="0" collapsed="false">
      <c r="A85" s="123"/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</row>
    <row r="86" customFormat="false" ht="15" hidden="false" customHeight="false" outlineLevel="0" collapsed="false">
      <c r="A86" s="123"/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</row>
    <row r="87" customFormat="false" ht="15" hidden="false" customHeight="false" outlineLevel="0" collapsed="false">
      <c r="A87" s="123"/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</row>
    <row r="88" customFormat="false" ht="15" hidden="false" customHeight="false" outlineLevel="0" collapsed="false">
      <c r="A88" s="123"/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</row>
    <row r="89" customFormat="false" ht="15" hidden="false" customHeight="false" outlineLevel="0" collapsed="false">
      <c r="A89" s="123"/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</row>
    <row r="90" customFormat="false" ht="15" hidden="false" customHeight="false" outlineLevel="0" collapsed="false">
      <c r="A90" s="123"/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</row>
    <row r="91" customFormat="false" ht="15" hidden="false" customHeight="false" outlineLevel="0" collapsed="false">
      <c r="A91" s="123"/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</row>
    <row r="92" customFormat="false" ht="15" hidden="false" customHeight="false" outlineLevel="0" collapsed="false">
      <c r="A92" s="123"/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</row>
    <row r="93" customFormat="false" ht="15" hidden="false" customHeight="false" outlineLevel="0" collapsed="false">
      <c r="A93" s="123"/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</row>
    <row r="94" customFormat="false" ht="15" hidden="false" customHeight="false" outlineLevel="0" collapsed="false">
      <c r="A94" s="123"/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</row>
    <row r="95" customFormat="false" ht="15" hidden="false" customHeight="false" outlineLevel="0" collapsed="false">
      <c r="A95" s="123"/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</row>
    <row r="96" customFormat="false" ht="15" hidden="false" customHeight="false" outlineLevel="0" collapsed="false">
      <c r="A96" s="123"/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</row>
    <row r="97" customFormat="false" ht="15" hidden="false" customHeight="false" outlineLevel="0" collapsed="false">
      <c r="A97" s="123"/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</row>
    <row r="98" customFormat="false" ht="15" hidden="false" customHeight="false" outlineLevel="0" collapsed="false">
      <c r="A98" s="123"/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</row>
    <row r="99" customFormat="false" ht="15" hidden="false" customHeight="false" outlineLevel="0" collapsed="false">
      <c r="A99" s="123"/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</row>
    <row r="100" customFormat="false" ht="15" hidden="false" customHeight="false" outlineLevel="0" collapsed="false">
      <c r="A100" s="123"/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</row>
    <row r="101" customFormat="false" ht="15" hidden="false" customHeight="false" outlineLevel="0" collapsed="false">
      <c r="A101" s="123"/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</row>
    <row r="102" customFormat="false" ht="15" hidden="false" customHeight="false" outlineLevel="0" collapsed="false">
      <c r="A102" s="123"/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</row>
    <row r="103" customFormat="false" ht="15" hidden="false" customHeight="false" outlineLevel="0" collapsed="false">
      <c r="A103" s="123"/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</row>
    <row r="104" customFormat="false" ht="15" hidden="false" customHeight="false" outlineLevel="0" collapsed="false">
      <c r="A104" s="123"/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</row>
    <row r="105" customFormat="false" ht="15" hidden="false" customHeight="false" outlineLevel="0" collapsed="false">
      <c r="A105" s="123"/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</row>
    <row r="106" customFormat="false" ht="15" hidden="false" customHeight="false" outlineLevel="0" collapsed="false">
      <c r="A106" s="123"/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</row>
    <row r="107" customFormat="false" ht="15" hidden="false" customHeight="false" outlineLevel="0" collapsed="false">
      <c r="A107" s="123"/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</row>
    <row r="108" customFormat="false" ht="15" hidden="false" customHeight="false" outlineLevel="0" collapsed="false">
      <c r="A108" s="123"/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</row>
    <row r="109" customFormat="false" ht="15" hidden="false" customHeight="false" outlineLevel="0" collapsed="false">
      <c r="A109" s="123"/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</row>
    <row r="110" customFormat="false" ht="15" hidden="false" customHeight="false" outlineLevel="0" collapsed="false">
      <c r="A110" s="123"/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</row>
    <row r="111" customFormat="false" ht="15" hidden="false" customHeight="false" outlineLevel="0" collapsed="false">
      <c r="A111" s="123"/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</row>
    <row r="112" customFormat="false" ht="15" hidden="false" customHeight="false" outlineLevel="0" collapsed="false">
      <c r="A112" s="123"/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</row>
    <row r="113" customFormat="false" ht="15" hidden="false" customHeight="false" outlineLevel="0" collapsed="false">
      <c r="A113" s="123"/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</row>
    <row r="114" customFormat="false" ht="15" hidden="false" customHeight="false" outlineLevel="0" collapsed="false">
      <c r="A114" s="123"/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</row>
    <row r="115" customFormat="false" ht="15" hidden="false" customHeight="false" outlineLevel="0" collapsed="false">
      <c r="A115" s="123"/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</row>
    <row r="116" customFormat="false" ht="15" hidden="false" customHeight="false" outlineLevel="0" collapsed="false">
      <c r="A116" s="123"/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</row>
    <row r="117" customFormat="false" ht="15" hidden="false" customHeight="false" outlineLevel="0" collapsed="false">
      <c r="A117" s="123"/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</row>
    <row r="118" customFormat="false" ht="15" hidden="false" customHeight="false" outlineLevel="0" collapsed="false">
      <c r="A118" s="123"/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</row>
    <row r="119" customFormat="false" ht="15" hidden="false" customHeight="false" outlineLevel="0" collapsed="false">
      <c r="A119" s="123"/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</row>
    <row r="120" customFormat="false" ht="15" hidden="false" customHeight="false" outlineLevel="0" collapsed="false">
      <c r="A120" s="123"/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</row>
    <row r="121" customFormat="false" ht="15" hidden="false" customHeight="false" outlineLevel="0" collapsed="false">
      <c r="A121" s="123"/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</row>
    <row r="122" customFormat="false" ht="15" hidden="false" customHeight="false" outlineLevel="0" collapsed="false">
      <c r="A122" s="123"/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</row>
    <row r="123" customFormat="false" ht="15" hidden="false" customHeight="false" outlineLevel="0" collapsed="false">
      <c r="A123" s="123"/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</row>
    <row r="124" customFormat="false" ht="15" hidden="false" customHeight="false" outlineLevel="0" collapsed="false">
      <c r="A124" s="123"/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</row>
    <row r="125" customFormat="false" ht="15" hidden="false" customHeight="false" outlineLevel="0" collapsed="false">
      <c r="A125" s="123"/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</row>
    <row r="126" customFormat="false" ht="15" hidden="false" customHeight="false" outlineLevel="0" collapsed="false">
      <c r="A126" s="123"/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</row>
    <row r="127" customFormat="false" ht="15" hidden="false" customHeight="false" outlineLevel="0" collapsed="false">
      <c r="A127" s="123"/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</row>
    <row r="128" customFormat="false" ht="15" hidden="false" customHeight="false" outlineLevel="0" collapsed="false">
      <c r="A128" s="123"/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</row>
    <row r="129" customFormat="false" ht="15" hidden="false" customHeight="false" outlineLevel="0" collapsed="false">
      <c r="A129" s="123"/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</row>
    <row r="130" customFormat="false" ht="15" hidden="false" customHeight="false" outlineLevel="0" collapsed="false">
      <c r="A130" s="123"/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</row>
    <row r="131" customFormat="false" ht="15" hidden="false" customHeight="false" outlineLevel="0" collapsed="false">
      <c r="A131" s="123"/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</row>
    <row r="132" customFormat="false" ht="15" hidden="false" customHeight="false" outlineLevel="0" collapsed="false">
      <c r="A132" s="123"/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</row>
    <row r="133" customFormat="false" ht="15" hidden="false" customHeight="false" outlineLevel="0" collapsed="false">
      <c r="A133" s="123"/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</row>
    <row r="134" customFormat="false" ht="15" hidden="false" customHeight="false" outlineLevel="0" collapsed="false">
      <c r="A134" s="123"/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</row>
    <row r="135" customFormat="false" ht="15" hidden="false" customHeight="false" outlineLevel="0" collapsed="false">
      <c r="A135" s="123"/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</row>
    <row r="136" customFormat="false" ht="15" hidden="false" customHeight="false" outlineLevel="0" collapsed="false">
      <c r="A136" s="123"/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</row>
    <row r="137" customFormat="false" ht="15" hidden="false" customHeight="false" outlineLevel="0" collapsed="false">
      <c r="A137" s="123"/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</row>
    <row r="138" customFormat="false" ht="15" hidden="false" customHeight="false" outlineLevel="0" collapsed="false">
      <c r="A138" s="123"/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</row>
    <row r="139" customFormat="false" ht="15" hidden="false" customHeight="false" outlineLevel="0" collapsed="false">
      <c r="A139" s="123"/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</row>
    <row r="140" customFormat="false" ht="15" hidden="false" customHeight="false" outlineLevel="0" collapsed="false">
      <c r="A140" s="123"/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</row>
    <row r="141" customFormat="false" ht="15" hidden="false" customHeight="false" outlineLevel="0" collapsed="false">
      <c r="A141" s="123"/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</row>
    <row r="142" customFormat="false" ht="15" hidden="false" customHeight="false" outlineLevel="0" collapsed="false">
      <c r="A142" s="123"/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</row>
    <row r="143" customFormat="false" ht="15" hidden="false" customHeight="false" outlineLevel="0" collapsed="false">
      <c r="A143" s="123"/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</row>
    <row r="144" customFormat="false" ht="15" hidden="false" customHeight="false" outlineLevel="0" collapsed="false">
      <c r="A144" s="123"/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</row>
    <row r="145" customFormat="false" ht="15" hidden="false" customHeight="false" outlineLevel="0" collapsed="false">
      <c r="A145" s="123"/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</row>
    <row r="146" customFormat="false" ht="15" hidden="false" customHeight="false" outlineLevel="0" collapsed="false">
      <c r="A146" s="123"/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</row>
    <row r="147" customFormat="false" ht="15" hidden="false" customHeight="false" outlineLevel="0" collapsed="false">
      <c r="A147" s="123"/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</row>
    <row r="148" customFormat="false" ht="15" hidden="false" customHeight="false" outlineLevel="0" collapsed="false">
      <c r="A148" s="123"/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</row>
    <row r="149" customFormat="false" ht="15" hidden="false" customHeight="false" outlineLevel="0" collapsed="false">
      <c r="A149" s="123"/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</row>
    <row r="150" customFormat="false" ht="15" hidden="false" customHeight="false" outlineLevel="0" collapsed="false">
      <c r="A150" s="123"/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</row>
    <row r="151" customFormat="false" ht="15" hidden="false" customHeight="false" outlineLevel="0" collapsed="false">
      <c r="A151" s="123"/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</row>
    <row r="152" customFormat="false" ht="15" hidden="false" customHeight="false" outlineLevel="0" collapsed="false">
      <c r="A152" s="123"/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</row>
    <row r="153" customFormat="false" ht="15" hidden="false" customHeight="false" outlineLevel="0" collapsed="false">
      <c r="A153" s="123"/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</row>
    <row r="154" customFormat="false" ht="15" hidden="false" customHeight="false" outlineLevel="0" collapsed="false">
      <c r="A154" s="123"/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</row>
    <row r="155" customFormat="false" ht="15" hidden="false" customHeight="false" outlineLevel="0" collapsed="false">
      <c r="A155" s="123"/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</row>
    <row r="156" customFormat="false" ht="15" hidden="false" customHeight="false" outlineLevel="0" collapsed="false">
      <c r="A156" s="123"/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</row>
    <row r="157" customFormat="false" ht="15" hidden="false" customHeight="false" outlineLevel="0" collapsed="false">
      <c r="A157" s="123"/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</row>
    <row r="158" customFormat="false" ht="15" hidden="false" customHeight="false" outlineLevel="0" collapsed="false">
      <c r="A158" s="123"/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</row>
    <row r="159" customFormat="false" ht="15" hidden="false" customHeight="false" outlineLevel="0" collapsed="false">
      <c r="A159" s="123"/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</row>
    <row r="160" customFormat="false" ht="15" hidden="false" customHeight="false" outlineLevel="0" collapsed="false">
      <c r="A160" s="123"/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</row>
    <row r="161" customFormat="false" ht="15" hidden="false" customHeight="false" outlineLevel="0" collapsed="false">
      <c r="A161" s="123"/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</row>
    <row r="162" customFormat="false" ht="15" hidden="false" customHeight="false" outlineLevel="0" collapsed="false">
      <c r="A162" s="123"/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</row>
    <row r="163" customFormat="false" ht="15" hidden="false" customHeight="false" outlineLevel="0" collapsed="false">
      <c r="A163" s="123"/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</row>
    <row r="164" customFormat="false" ht="15" hidden="false" customHeight="false" outlineLevel="0" collapsed="false">
      <c r="A164" s="123"/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</row>
    <row r="165" customFormat="false" ht="15" hidden="false" customHeight="false" outlineLevel="0" collapsed="false">
      <c r="A165" s="123"/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</row>
    <row r="166" customFormat="false" ht="15" hidden="false" customHeight="false" outlineLevel="0" collapsed="false">
      <c r="A166" s="123"/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</row>
    <row r="167" customFormat="false" ht="15" hidden="false" customHeight="false" outlineLevel="0" collapsed="false">
      <c r="A167" s="123"/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</row>
    <row r="168" customFormat="false" ht="15" hidden="false" customHeight="false" outlineLevel="0" collapsed="false">
      <c r="A168" s="123"/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</row>
    <row r="169" customFormat="false" ht="15" hidden="false" customHeight="false" outlineLevel="0" collapsed="false">
      <c r="A169" s="123"/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</row>
    <row r="170" customFormat="false" ht="15" hidden="false" customHeight="false" outlineLevel="0" collapsed="false">
      <c r="A170" s="123"/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</row>
    <row r="171" customFormat="false" ht="15" hidden="false" customHeight="false" outlineLevel="0" collapsed="false">
      <c r="A171" s="123"/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</row>
    <row r="172" customFormat="false" ht="15" hidden="false" customHeight="false" outlineLevel="0" collapsed="false">
      <c r="A172" s="123"/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</row>
    <row r="173" customFormat="false" ht="15" hidden="false" customHeight="false" outlineLevel="0" collapsed="false">
      <c r="A173" s="123"/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</row>
    <row r="174" customFormat="false" ht="15" hidden="false" customHeight="false" outlineLevel="0" collapsed="false">
      <c r="A174" s="123"/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</row>
    <row r="175" customFormat="false" ht="15" hidden="false" customHeight="false" outlineLevel="0" collapsed="false">
      <c r="A175" s="123"/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</row>
    <row r="176" customFormat="false" ht="15" hidden="false" customHeight="false" outlineLevel="0" collapsed="false">
      <c r="A176" s="123"/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</row>
    <row r="177" customFormat="false" ht="15" hidden="false" customHeight="false" outlineLevel="0" collapsed="false">
      <c r="A177" s="123"/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</row>
    <row r="178" customFormat="false" ht="15" hidden="false" customHeight="false" outlineLevel="0" collapsed="false">
      <c r="A178" s="123"/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</row>
    <row r="179" customFormat="false" ht="15" hidden="false" customHeight="false" outlineLevel="0" collapsed="false">
      <c r="A179" s="123"/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</row>
    <row r="180" customFormat="false" ht="15" hidden="false" customHeight="false" outlineLevel="0" collapsed="false">
      <c r="A180" s="123"/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</row>
    <row r="181" customFormat="false" ht="15" hidden="false" customHeight="false" outlineLevel="0" collapsed="false">
      <c r="A181" s="123"/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</row>
    <row r="182" customFormat="false" ht="15" hidden="false" customHeight="false" outlineLevel="0" collapsed="false">
      <c r="A182" s="123"/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</row>
    <row r="183" customFormat="false" ht="15" hidden="false" customHeight="false" outlineLevel="0" collapsed="false">
      <c r="A183" s="123"/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</row>
    <row r="184" customFormat="false" ht="15" hidden="false" customHeight="false" outlineLevel="0" collapsed="false">
      <c r="A184" s="123"/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</row>
    <row r="185" customFormat="false" ht="15" hidden="false" customHeight="false" outlineLevel="0" collapsed="false">
      <c r="A185" s="123"/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</row>
    <row r="186" customFormat="false" ht="15" hidden="false" customHeight="false" outlineLevel="0" collapsed="false">
      <c r="A186" s="123"/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</row>
    <row r="187" customFormat="false" ht="15" hidden="false" customHeight="false" outlineLevel="0" collapsed="false">
      <c r="A187" s="123"/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</row>
    <row r="188" customFormat="false" ht="15" hidden="false" customHeight="false" outlineLevel="0" collapsed="false">
      <c r="A188" s="123"/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</row>
    <row r="189" customFormat="false" ht="15" hidden="false" customHeight="false" outlineLevel="0" collapsed="false">
      <c r="A189" s="123"/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</row>
    <row r="190" customFormat="false" ht="15" hidden="false" customHeight="false" outlineLevel="0" collapsed="false">
      <c r="A190" s="123"/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</row>
    <row r="191" customFormat="false" ht="15" hidden="false" customHeight="false" outlineLevel="0" collapsed="false">
      <c r="A191" s="123"/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</row>
    <row r="192" customFormat="false" ht="15" hidden="false" customHeight="false" outlineLevel="0" collapsed="false">
      <c r="A192" s="123"/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</row>
    <row r="193" customFormat="false" ht="15" hidden="false" customHeight="false" outlineLevel="0" collapsed="false">
      <c r="A193" s="123"/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</row>
    <row r="194" customFormat="false" ht="15" hidden="false" customHeight="false" outlineLevel="0" collapsed="false">
      <c r="A194" s="123"/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</row>
    <row r="195" customFormat="false" ht="15" hidden="false" customHeight="false" outlineLevel="0" collapsed="false">
      <c r="A195" s="123"/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</row>
    <row r="196" customFormat="false" ht="15" hidden="false" customHeight="false" outlineLevel="0" collapsed="false">
      <c r="A196" s="123"/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</row>
    <row r="197" customFormat="false" ht="15" hidden="false" customHeight="false" outlineLevel="0" collapsed="false">
      <c r="A197" s="123"/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</row>
    <row r="198" customFormat="false" ht="15" hidden="false" customHeight="false" outlineLevel="0" collapsed="false">
      <c r="A198" s="123"/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</row>
    <row r="199" customFormat="false" ht="15" hidden="false" customHeight="false" outlineLevel="0" collapsed="false">
      <c r="A199" s="123"/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</row>
    <row r="200" customFormat="false" ht="15" hidden="false" customHeight="false" outlineLevel="0" collapsed="false">
      <c r="A200" s="123"/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</row>
  </sheetData>
  <mergeCells count="4">
    <mergeCell ref="C65:F65"/>
    <mergeCell ref="C66:F66"/>
    <mergeCell ref="C67:F67"/>
    <mergeCell ref="C68:F6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8C1C6"/>
    <pageSetUpPr fitToPage="false"/>
  </sheetPr>
  <dimension ref="C1:P9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2.5"/>
    <col collapsed="false" customWidth="true" hidden="false" outlineLevel="0" max="3" min="3" style="0" width="35"/>
    <col collapsed="false" customWidth="true" hidden="false" outlineLevel="0" max="5" min="4" style="0" width="27"/>
    <col collapsed="false" customWidth="true" hidden="false" outlineLevel="0" max="6" min="6" style="0" width="17"/>
    <col collapsed="false" customWidth="true" hidden="false" outlineLevel="0" max="13" min="7" style="0" width="14"/>
    <col collapsed="false" customWidth="true" hidden="false" outlineLevel="0" max="14" min="14" style="0" width="83"/>
    <col collapsed="false" customWidth="true" hidden="false" outlineLevel="0" max="16" min="15" style="0" width="14"/>
  </cols>
  <sheetData>
    <row r="1" customFormat="false" ht="21" hidden="false" customHeight="true" outlineLevel="0" collapsed="false"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</row>
    <row r="2" customFormat="false" ht="30" hidden="false" customHeight="true" outlineLevel="0" collapsed="false">
      <c r="C2" s="75" t="s">
        <v>856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customFormat="false" ht="21" hidden="false" customHeight="true" outlineLevel="0" collapsed="false"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</row>
    <row r="4" customFormat="false" ht="21" hidden="false" customHeight="true" outlineLevel="0" collapsed="false">
      <c r="C4" s="74" t="s">
        <v>580</v>
      </c>
      <c r="D4" s="77" t="str">
        <f aca="false">'W Assumptions'!D3</f>
        <v>Base</v>
      </c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</row>
    <row r="5" customFormat="false" ht="33.75" hidden="false" customHeight="true" outlineLevel="0" collapsed="false">
      <c r="C5" s="78" t="s">
        <v>581</v>
      </c>
      <c r="D5" s="78" t="s">
        <v>582</v>
      </c>
      <c r="E5" s="78" t="s">
        <v>857</v>
      </c>
      <c r="F5" s="78" t="s">
        <v>858</v>
      </c>
      <c r="G5" s="78" t="s">
        <v>859</v>
      </c>
      <c r="H5" s="78" t="s">
        <v>860</v>
      </c>
      <c r="I5" s="78" t="s">
        <v>861</v>
      </c>
      <c r="J5" s="78" t="s">
        <v>862</v>
      </c>
      <c r="K5" s="78" t="s">
        <v>863</v>
      </c>
      <c r="L5" s="78" t="s">
        <v>864</v>
      </c>
      <c r="M5" s="78" t="s">
        <v>865</v>
      </c>
      <c r="N5" s="78" t="s">
        <v>866</v>
      </c>
      <c r="O5" s="74"/>
      <c r="P5" s="74"/>
    </row>
    <row r="6" customFormat="false" ht="34.5" hidden="false" customHeight="true" outlineLevel="0" collapsed="false">
      <c r="C6" s="74" t="s">
        <v>148</v>
      </c>
      <c r="D6" s="79" t="s">
        <v>591</v>
      </c>
      <c r="E6" s="79" t="s">
        <v>150</v>
      </c>
      <c r="F6" s="93" t="n">
        <f aca="false">'WOO Sites'!F6+'WOO Sites'!G6+Terms!$D$45</f>
        <v>46280</v>
      </c>
      <c r="G6" s="92" t="n">
        <f aca="false">'WOO Sites'!H6</f>
        <v>1</v>
      </c>
      <c r="H6" s="80" t="n">
        <v>30</v>
      </c>
      <c r="I6" s="135" t="n">
        <f aca="false">D45/(H6*12)</f>
        <v>162.777777777778</v>
      </c>
      <c r="J6" s="136" t="n">
        <f aca="false">D46*(1+'W Assumptions'!$D$39)/(1+D54*'W Assumptions'!$D$39)</f>
        <v>63.25</v>
      </c>
      <c r="K6" s="136" t="n">
        <f aca="false">SUM(D47:D49)*(1+'W Assumptions'!$D$39)/(1+D54*'W Assumptions'!$D$39)</f>
        <v>34.5</v>
      </c>
      <c r="L6" s="136" t="n">
        <f aca="false">SUM(D50:D52)/12/(1+D54*'W Assumptions'!$D$39)</f>
        <v>33333.3333333333</v>
      </c>
      <c r="M6" s="90" t="n">
        <v>0</v>
      </c>
      <c r="N6" s="79" t="s">
        <v>867</v>
      </c>
      <c r="O6" s="79"/>
      <c r="P6" s="79"/>
    </row>
    <row r="7" customFormat="false" ht="34.5" hidden="false" customHeight="true" outlineLevel="0" collapsed="false">
      <c r="C7" s="74" t="s">
        <v>152</v>
      </c>
      <c r="D7" s="79" t="s">
        <v>594</v>
      </c>
      <c r="E7" s="79" t="s">
        <v>154</v>
      </c>
      <c r="F7" s="93" t="n">
        <f aca="false">'WOO Sites'!F7+'WOO Sites'!G7+Terms!$D$45</f>
        <v>46315</v>
      </c>
      <c r="G7" s="92" t="n">
        <f aca="false">'WOO Sites'!H7</f>
        <v>1</v>
      </c>
      <c r="H7" s="80" t="n">
        <v>30</v>
      </c>
      <c r="I7" s="80" t="n">
        <v>70</v>
      </c>
      <c r="J7" s="80" t="n">
        <v>35</v>
      </c>
      <c r="K7" s="80" t="n">
        <v>3</v>
      </c>
      <c r="L7" s="80" t="n">
        <v>5000</v>
      </c>
      <c r="M7" s="90" t="n">
        <v>0</v>
      </c>
      <c r="N7" s="79" t="s">
        <v>868</v>
      </c>
      <c r="O7" s="79"/>
      <c r="P7" s="79"/>
    </row>
    <row r="8" customFormat="false" ht="34.5" hidden="false" customHeight="true" outlineLevel="0" collapsed="false">
      <c r="C8" s="74" t="s">
        <v>155</v>
      </c>
      <c r="D8" s="79" t="s">
        <v>595</v>
      </c>
      <c r="E8" s="79" t="s">
        <v>157</v>
      </c>
      <c r="F8" s="93" t="n">
        <f aca="false">'WOO Sites'!F8+'WOO Sites'!G8+Terms!$D$45</f>
        <v>46388</v>
      </c>
      <c r="G8" s="92" t="n">
        <f aca="false">'WOO Sites'!H8</f>
        <v>1</v>
      </c>
      <c r="H8" s="80" t="n">
        <v>30</v>
      </c>
      <c r="I8" s="137" t="n">
        <f aca="false">(E28-L8*12)*(1+'W Assumptions'!$D$39)/(H8*12*(J8+K8))</f>
        <v>94.5205479452055</v>
      </c>
      <c r="J8" s="80" t="n">
        <v>65</v>
      </c>
      <c r="K8" s="80" t="n">
        <v>8</v>
      </c>
      <c r="L8" s="80" t="n">
        <v>20000</v>
      </c>
      <c r="M8" s="90" t="n">
        <v>0</v>
      </c>
      <c r="N8" s="79" t="s">
        <v>869</v>
      </c>
      <c r="O8" s="79"/>
      <c r="P8" s="79"/>
    </row>
    <row r="9" customFormat="false" ht="34.5" hidden="false" customHeight="true" outlineLevel="0" collapsed="false">
      <c r="C9" s="74" t="s">
        <v>158</v>
      </c>
      <c r="D9" s="79" t="s">
        <v>596</v>
      </c>
      <c r="E9" s="79" t="s">
        <v>157</v>
      </c>
      <c r="F9" s="93" t="n">
        <f aca="false">'WOO Sites'!F9+'WOO Sites'!G9+Terms!$D$45</f>
        <v>46341</v>
      </c>
      <c r="G9" s="92" t="n">
        <f aca="false">'WOO Sites'!H9</f>
        <v>1</v>
      </c>
      <c r="H9" s="80" t="n">
        <v>30</v>
      </c>
      <c r="I9" s="137" t="n">
        <f aca="false">(E29-L9*12)*(1+'W Assumptions'!$D$39)/(H9*12*(J9+K9))</f>
        <v>66.5509259259259</v>
      </c>
      <c r="J9" s="80" t="n">
        <v>65</v>
      </c>
      <c r="K9" s="80" t="n">
        <v>7</v>
      </c>
      <c r="L9" s="80" t="n">
        <v>15000</v>
      </c>
      <c r="M9" s="90" t="n">
        <v>0</v>
      </c>
      <c r="N9" s="79" t="s">
        <v>870</v>
      </c>
      <c r="O9" s="79"/>
      <c r="P9" s="79"/>
    </row>
    <row r="10" customFormat="false" ht="34.5" hidden="false" customHeight="true" outlineLevel="0" collapsed="false">
      <c r="C10" s="74" t="s">
        <v>160</v>
      </c>
      <c r="D10" s="79" t="s">
        <v>597</v>
      </c>
      <c r="E10" s="79" t="s">
        <v>157</v>
      </c>
      <c r="F10" s="93" t="n">
        <f aca="false">'WOO Sites'!F10+'WOO Sites'!G10+Terms!$D$45</f>
        <v>46357</v>
      </c>
      <c r="G10" s="92" t="n">
        <f aca="false">'WOO Sites'!H10</f>
        <v>1</v>
      </c>
      <c r="H10" s="80" t="n">
        <v>30</v>
      </c>
      <c r="I10" s="137" t="n">
        <f aca="false">(E30-L10*12)*(1+'W Assumptions'!$D$39)/(H10*12*(J10+K10))</f>
        <v>85.0684931506849</v>
      </c>
      <c r="J10" s="80" t="n">
        <v>65</v>
      </c>
      <c r="K10" s="80" t="n">
        <v>8</v>
      </c>
      <c r="L10" s="80" t="n">
        <v>18000</v>
      </c>
      <c r="M10" s="90" t="n">
        <v>0</v>
      </c>
      <c r="N10" s="79" t="s">
        <v>871</v>
      </c>
      <c r="O10" s="79"/>
      <c r="P10" s="79"/>
    </row>
    <row r="11" customFormat="false" ht="34.5" hidden="false" customHeight="true" outlineLevel="0" collapsed="false">
      <c r="C11" s="74" t="s">
        <v>162</v>
      </c>
      <c r="D11" s="79" t="s">
        <v>598</v>
      </c>
      <c r="E11" s="79" t="s">
        <v>157</v>
      </c>
      <c r="F11" s="93" t="n">
        <f aca="false">'WOO Sites'!F11+'WOO Sites'!G11+Terms!$D$45</f>
        <v>46315</v>
      </c>
      <c r="G11" s="92" t="n">
        <f aca="false">'WOO Sites'!H11</f>
        <v>1</v>
      </c>
      <c r="H11" s="80" t="n">
        <v>26</v>
      </c>
      <c r="I11" s="80" t="n">
        <v>30</v>
      </c>
      <c r="J11" s="80" t="n">
        <v>60</v>
      </c>
      <c r="K11" s="80" t="n">
        <v>3</v>
      </c>
      <c r="L11" s="80" t="n">
        <v>20000</v>
      </c>
      <c r="M11" s="90" t="n">
        <v>0</v>
      </c>
      <c r="N11" s="79" t="s">
        <v>872</v>
      </c>
      <c r="O11" s="79"/>
      <c r="P11" s="79"/>
    </row>
    <row r="12" customFormat="false" ht="34.5" hidden="false" customHeight="true" outlineLevel="0" collapsed="false">
      <c r="C12" s="74" t="s">
        <v>164</v>
      </c>
      <c r="D12" s="79" t="s">
        <v>599</v>
      </c>
      <c r="E12" s="79" t="s">
        <v>154</v>
      </c>
      <c r="F12" s="93" t="n">
        <f aca="false">'WOO Sites'!F12+'WOO Sites'!G12+Terms!$D$45</f>
        <v>46388</v>
      </c>
      <c r="G12" s="92" t="n">
        <f aca="false">'WOO Sites'!H12</f>
        <v>1</v>
      </c>
      <c r="H12" s="80" t="n">
        <v>26</v>
      </c>
      <c r="I12" s="80" t="n">
        <v>35</v>
      </c>
      <c r="J12" s="80" t="n">
        <v>60</v>
      </c>
      <c r="K12" s="80" t="n">
        <v>3</v>
      </c>
      <c r="L12" s="80" t="n">
        <v>18000</v>
      </c>
      <c r="M12" s="90" t="n">
        <v>0</v>
      </c>
      <c r="N12" s="79" t="s">
        <v>873</v>
      </c>
      <c r="O12" s="79"/>
      <c r="P12" s="79"/>
    </row>
    <row r="13" customFormat="false" ht="34.5" hidden="false" customHeight="true" outlineLevel="0" collapsed="false">
      <c r="C13" s="74" t="s">
        <v>166</v>
      </c>
      <c r="D13" s="79" t="s">
        <v>600</v>
      </c>
      <c r="E13" s="79" t="s">
        <v>168</v>
      </c>
      <c r="F13" s="93" t="n">
        <f aca="false">'WOO Sites'!F13+'WOO Sites'!G13+Terms!$D$45</f>
        <v>46446</v>
      </c>
      <c r="G13" s="92" t="n">
        <f aca="false">'WOO Sites'!H13</f>
        <v>1</v>
      </c>
      <c r="H13" s="80" t="n">
        <v>30</v>
      </c>
      <c r="I13" s="80" t="n">
        <v>130</v>
      </c>
      <c r="J13" s="80" t="n">
        <v>40</v>
      </c>
      <c r="K13" s="80" t="n">
        <v>5</v>
      </c>
      <c r="L13" s="80" t="n">
        <v>15000</v>
      </c>
      <c r="M13" s="90" t="n">
        <v>0</v>
      </c>
      <c r="N13" s="79" t="s">
        <v>874</v>
      </c>
      <c r="O13" s="79"/>
      <c r="P13" s="79"/>
    </row>
    <row r="14" customFormat="false" ht="34.5" hidden="false" customHeight="true" outlineLevel="0" collapsed="false">
      <c r="C14" s="74" t="s">
        <v>169</v>
      </c>
      <c r="D14" s="79" t="s">
        <v>601</v>
      </c>
      <c r="E14" s="79" t="s">
        <v>157</v>
      </c>
      <c r="F14" s="93" t="n">
        <f aca="false">'WOO Sites'!F14+'WOO Sites'!G14+Terms!$D$45</f>
        <v>46447</v>
      </c>
      <c r="G14" s="92" t="n">
        <f aca="false">'WOO Sites'!H14</f>
        <v>0</v>
      </c>
      <c r="H14" s="80" t="n">
        <v>30</v>
      </c>
      <c r="I14" s="80" t="n">
        <v>80</v>
      </c>
      <c r="J14" s="80" t="n">
        <v>75</v>
      </c>
      <c r="K14" s="80" t="n">
        <v>10</v>
      </c>
      <c r="L14" s="80" t="n">
        <v>25000</v>
      </c>
      <c r="M14" s="90" t="n">
        <v>0</v>
      </c>
      <c r="N14" s="79" t="s">
        <v>875</v>
      </c>
      <c r="O14" s="79"/>
      <c r="P14" s="79"/>
    </row>
    <row r="15" customFormat="false" ht="34.5" hidden="false" customHeight="true" outlineLevel="0" collapsed="false">
      <c r="C15" s="74" t="s">
        <v>172</v>
      </c>
      <c r="D15" s="79" t="s">
        <v>602</v>
      </c>
      <c r="E15" s="79" t="s">
        <v>174</v>
      </c>
      <c r="F15" s="93" t="n">
        <f aca="false">'WOO Sites'!F15+'WOO Sites'!G15+Terms!$D$45</f>
        <v>46478</v>
      </c>
      <c r="G15" s="92" t="n">
        <f aca="false">'WOO Sites'!H15</f>
        <v>0</v>
      </c>
      <c r="H15" s="80" t="n">
        <v>30</v>
      </c>
      <c r="I15" s="80" t="n">
        <v>110</v>
      </c>
      <c r="J15" s="80" t="n">
        <v>60</v>
      </c>
      <c r="K15" s="80" t="n">
        <v>8</v>
      </c>
      <c r="L15" s="80" t="n">
        <v>20000</v>
      </c>
      <c r="M15" s="90" t="n">
        <v>0</v>
      </c>
      <c r="N15" s="79" t="s">
        <v>876</v>
      </c>
      <c r="O15" s="79"/>
      <c r="P15" s="79"/>
    </row>
    <row r="16" customFormat="false" ht="21" hidden="false" customHeight="true" outlineLevel="0" collapsed="false">
      <c r="C16" s="74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</row>
    <row r="17" customFormat="false" ht="21" hidden="false" customHeight="true" outlineLevel="0" collapsed="false">
      <c r="C17" s="74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</row>
    <row r="18" customFormat="false" ht="21" hidden="false" customHeight="true" outlineLevel="0" collapsed="false">
      <c r="C18" s="83" t="s">
        <v>877</v>
      </c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</row>
    <row r="19" customFormat="false" ht="21" hidden="false" customHeight="true" outlineLevel="0" collapsed="false">
      <c r="C19" s="83" t="s">
        <v>878</v>
      </c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</row>
    <row r="20" customFormat="false" ht="21" hidden="false" customHeight="true" outlineLevel="0" collapsed="false">
      <c r="C20" s="74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</row>
    <row r="21" customFormat="false" ht="21" hidden="false" customHeight="true" outlineLevel="0" collapsed="false">
      <c r="C21" s="74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</row>
    <row r="22" customFormat="false" ht="21" hidden="false" customHeight="true" outlineLevel="0" collapsed="false">
      <c r="C22" s="74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</row>
    <row r="23" customFormat="false" ht="24" hidden="false" customHeight="true" outlineLevel="0" collapsed="false">
      <c r="C23" s="138" t="s">
        <v>879</v>
      </c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</row>
    <row r="24" customFormat="false" ht="24" hidden="false" customHeight="true" outlineLevel="0" collapsed="false">
      <c r="C24" s="74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</row>
    <row r="25" customFormat="false" ht="37.5" hidden="false" customHeight="true" outlineLevel="0" collapsed="false">
      <c r="C25" s="78" t="s">
        <v>581</v>
      </c>
      <c r="D25" s="85" t="s">
        <v>582</v>
      </c>
      <c r="E25" s="85" t="s">
        <v>880</v>
      </c>
      <c r="F25" s="85" t="s">
        <v>881</v>
      </c>
      <c r="G25" s="85" t="s">
        <v>612</v>
      </c>
      <c r="H25" s="79"/>
      <c r="I25" s="79"/>
      <c r="J25" s="79"/>
      <c r="K25" s="79"/>
      <c r="L25" s="79"/>
      <c r="M25" s="79"/>
      <c r="N25" s="79"/>
      <c r="O25" s="79"/>
      <c r="P25" s="79"/>
    </row>
    <row r="26" customFormat="false" ht="30" hidden="false" customHeight="true" outlineLevel="0" collapsed="false">
      <c r="C26" s="139" t="str">
        <f aca="false">C6</f>
        <v>S01</v>
      </c>
      <c r="D26" s="139" t="str">
        <f aca="false">D6</f>
        <v>Saha Sayyid Al Shuhada</v>
      </c>
      <c r="E26" s="109" t="n">
        <f aca="false">$D$55</f>
        <v>5381000</v>
      </c>
      <c r="F26" s="109" t="n">
        <f aca="false">E26/12</f>
        <v>448416.666666667</v>
      </c>
      <c r="G26" s="111" t="s">
        <v>882</v>
      </c>
      <c r="H26" s="74"/>
      <c r="I26" s="74"/>
      <c r="J26" s="74"/>
      <c r="K26" s="74"/>
      <c r="L26" s="74"/>
      <c r="M26" s="74"/>
      <c r="N26" s="74"/>
    </row>
    <row r="27" customFormat="false" ht="30" hidden="false" customHeight="true" outlineLevel="0" collapsed="false">
      <c r="C27" s="139" t="str">
        <f aca="false">C7</f>
        <v>S02</v>
      </c>
      <c r="D27" s="139" t="str">
        <f aca="false">D7</f>
        <v>Takiya Bahr</v>
      </c>
      <c r="E27" s="81" t="n">
        <f aca="false">(H7*I7*(J7+K7)/(1+'W Assumptions'!$D$39)+L7)*12</f>
        <v>892695.652173913</v>
      </c>
      <c r="F27" s="109" t="n">
        <f aca="false">E27/12</f>
        <v>74391.3043478261</v>
      </c>
      <c r="G27" s="111" t="s">
        <v>883</v>
      </c>
      <c r="H27" s="74"/>
      <c r="I27" s="74"/>
      <c r="J27" s="74"/>
      <c r="K27" s="74"/>
      <c r="L27" s="74"/>
      <c r="M27" s="74"/>
      <c r="N27" s="74"/>
    </row>
    <row r="28" customFormat="false" ht="30" hidden="false" customHeight="true" outlineLevel="0" collapsed="false">
      <c r="C28" s="139" t="str">
        <f aca="false">C8</f>
        <v>S03</v>
      </c>
      <c r="D28" s="139" t="str">
        <f aca="false">D8</f>
        <v>Riyadh Park</v>
      </c>
      <c r="E28" s="80" t="n">
        <v>2400000</v>
      </c>
      <c r="F28" s="109" t="n">
        <f aca="false">E28/12</f>
        <v>200000</v>
      </c>
      <c r="G28" s="111" t="s">
        <v>884</v>
      </c>
      <c r="H28" s="74"/>
      <c r="I28" s="74"/>
      <c r="J28" s="74"/>
      <c r="K28" s="74"/>
      <c r="L28" s="74"/>
      <c r="M28" s="74"/>
      <c r="N28" s="74"/>
    </row>
    <row r="29" customFormat="false" ht="30" hidden="false" customHeight="true" outlineLevel="0" collapsed="false">
      <c r="C29" s="139" t="str">
        <f aca="false">C9</f>
        <v>S04</v>
      </c>
      <c r="D29" s="139" t="str">
        <f aca="false">D9</f>
        <v>Esplanade</v>
      </c>
      <c r="E29" s="80" t="n">
        <v>1680000</v>
      </c>
      <c r="F29" s="109" t="n">
        <f aca="false">E29/12</f>
        <v>140000</v>
      </c>
      <c r="G29" s="111" t="s">
        <v>884</v>
      </c>
      <c r="H29" s="74"/>
      <c r="I29" s="74"/>
      <c r="J29" s="74"/>
      <c r="K29" s="74"/>
      <c r="L29" s="74"/>
      <c r="M29" s="74"/>
      <c r="N29" s="74"/>
    </row>
    <row r="30" customFormat="false" ht="30" hidden="false" customHeight="true" outlineLevel="0" collapsed="false">
      <c r="C30" s="139" t="str">
        <f aca="false">C10</f>
        <v>S05</v>
      </c>
      <c r="D30" s="139" t="str">
        <f aca="false">D10</f>
        <v>Roshn Front</v>
      </c>
      <c r="E30" s="80" t="n">
        <v>2160000</v>
      </c>
      <c r="F30" s="109" t="n">
        <f aca="false">E30/12</f>
        <v>180000</v>
      </c>
      <c r="G30" s="111" t="s">
        <v>884</v>
      </c>
      <c r="H30" s="74"/>
      <c r="I30" s="74"/>
      <c r="J30" s="74"/>
      <c r="K30" s="74"/>
      <c r="L30" s="74"/>
      <c r="M30" s="74"/>
      <c r="N30" s="74"/>
    </row>
    <row r="31" customFormat="false" ht="30" hidden="false" customHeight="true" outlineLevel="0" collapsed="false">
      <c r="C31" s="139" t="str">
        <f aca="false">C11</f>
        <v>S06</v>
      </c>
      <c r="D31" s="139" t="str">
        <f aca="false">D11</f>
        <v>Cultural Houses Riyadh</v>
      </c>
      <c r="E31" s="81" t="n">
        <f aca="false">(H11*I11*(J11+K11)/(1+'W Assumptions'!$D$39)+L11)*12</f>
        <v>752765.217391304</v>
      </c>
      <c r="F31" s="109" t="n">
        <f aca="false">E31/12</f>
        <v>62730.4347826087</v>
      </c>
      <c r="G31" s="111" t="s">
        <v>883</v>
      </c>
      <c r="H31" s="74"/>
      <c r="I31" s="74"/>
      <c r="J31" s="74"/>
      <c r="K31" s="74"/>
      <c r="L31" s="74"/>
      <c r="M31" s="74"/>
      <c r="N31" s="74"/>
    </row>
    <row r="32" customFormat="false" ht="30" hidden="false" customHeight="true" outlineLevel="0" collapsed="false">
      <c r="C32" s="139" t="str">
        <f aca="false">C12</f>
        <v>S07</v>
      </c>
      <c r="D32" s="139" t="str">
        <f aca="false">D12</f>
        <v>Cultural Houses Dammam</v>
      </c>
      <c r="E32" s="81" t="n">
        <f aca="false">(H12*I12*(J12+K12)/(1+'W Assumptions'!$D$39)+L12)*12</f>
        <v>814226.086956522</v>
      </c>
      <c r="F32" s="109" t="n">
        <f aca="false">E32/12</f>
        <v>67852.1739130435</v>
      </c>
      <c r="G32" s="111" t="s">
        <v>883</v>
      </c>
      <c r="H32" s="74"/>
      <c r="I32" s="74"/>
      <c r="J32" s="74"/>
      <c r="K32" s="74"/>
      <c r="L32" s="74"/>
      <c r="M32" s="74"/>
      <c r="N32" s="74"/>
    </row>
    <row r="33" customFormat="false" ht="30" hidden="false" customHeight="true" outlineLevel="0" collapsed="false">
      <c r="C33" s="139" t="str">
        <f aca="false">C13</f>
        <v>S08</v>
      </c>
      <c r="D33" s="139" t="str">
        <f aca="false">D13</f>
        <v>Masar Makkah</v>
      </c>
      <c r="E33" s="81" t="n">
        <f aca="false">(H13*I13*(J13+K13)/(1+'W Assumptions'!$D$39)+L13)*12</f>
        <v>2011304.34782609</v>
      </c>
      <c r="F33" s="109" t="n">
        <f aca="false">E33/12</f>
        <v>167608.695652174</v>
      </c>
      <c r="G33" s="111" t="s">
        <v>883</v>
      </c>
      <c r="H33" s="74"/>
      <c r="I33" s="74"/>
      <c r="J33" s="74"/>
      <c r="K33" s="74"/>
      <c r="L33" s="74"/>
      <c r="M33" s="74"/>
      <c r="N33" s="74"/>
    </row>
    <row r="34" customFormat="false" ht="30" hidden="false" customHeight="true" outlineLevel="0" collapsed="false">
      <c r="C34" s="139" t="str">
        <f aca="false">C14</f>
        <v>S09</v>
      </c>
      <c r="D34" s="139" t="str">
        <f aca="false">D14</f>
        <v>KAFD</v>
      </c>
      <c r="E34" s="81" t="n">
        <f aca="false">(H14*I14*(J14+K14)/(1+'W Assumptions'!$D$39)+L14)*12</f>
        <v>2428695.65217391</v>
      </c>
      <c r="F34" s="109" t="n">
        <f aca="false">E34/12</f>
        <v>202391.304347826</v>
      </c>
      <c r="G34" s="111" t="s">
        <v>883</v>
      </c>
      <c r="H34" s="74"/>
      <c r="I34" s="74"/>
      <c r="J34" s="74"/>
      <c r="K34" s="74"/>
      <c r="L34" s="74"/>
      <c r="M34" s="74"/>
      <c r="N34" s="74"/>
    </row>
    <row r="35" customFormat="false" ht="30" hidden="false" customHeight="true" outlineLevel="0" collapsed="false">
      <c r="C35" s="139" t="str">
        <f aca="false">C15</f>
        <v>S10</v>
      </c>
      <c r="D35" s="139" t="str">
        <f aca="false">D15</f>
        <v>Al Othaim with Aroosh and Jeel</v>
      </c>
      <c r="E35" s="81" t="n">
        <f aca="false">(H15*I15*(J15+K15)/(1+'W Assumptions'!$D$39)+L15)*12</f>
        <v>2581565.2173913</v>
      </c>
      <c r="F35" s="109" t="n">
        <f aca="false">E35/12</f>
        <v>215130.434782609</v>
      </c>
      <c r="G35" s="111" t="s">
        <v>883</v>
      </c>
      <c r="H35" s="74"/>
      <c r="I35" s="74"/>
      <c r="J35" s="74"/>
      <c r="K35" s="74"/>
      <c r="L35" s="74"/>
      <c r="M35" s="74"/>
      <c r="N35" s="74"/>
    </row>
    <row r="36" customFormat="false" ht="24" hidden="false" customHeight="true" outlineLevel="0" collapsed="false"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</row>
    <row r="37" customFormat="false" ht="24" hidden="false" customHeight="true" outlineLevel="0" collapsed="false"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</row>
    <row r="38" customFormat="false" ht="24" hidden="false" customHeight="true" outlineLevel="0" collapsed="false">
      <c r="C38" s="83" t="s">
        <v>885</v>
      </c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</row>
    <row r="39" customFormat="false" ht="24" hidden="false" customHeight="true" outlineLevel="0" collapsed="false">
      <c r="C39" s="83" t="s">
        <v>886</v>
      </c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</row>
    <row r="40" customFormat="false" ht="24" hidden="false" customHeight="true" outlineLevel="0" collapsed="false"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</row>
    <row r="41" customFormat="false" ht="24" hidden="false" customHeight="true" outlineLevel="0" collapsed="false"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</row>
    <row r="42" customFormat="false" ht="24" hidden="false" customHeight="true" outlineLevel="0" collapsed="false">
      <c r="C42" s="138" t="s">
        <v>887</v>
      </c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</row>
    <row r="43" customFormat="false" ht="24" hidden="false" customHeight="true" outlineLevel="0" collapsed="false"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</row>
    <row r="44" customFormat="false" ht="37.5" hidden="false" customHeight="true" outlineLevel="0" collapsed="false">
      <c r="C44" s="78" t="s">
        <v>888</v>
      </c>
      <c r="D44" s="78" t="s">
        <v>630</v>
      </c>
      <c r="E44" s="78" t="s">
        <v>889</v>
      </c>
      <c r="F44" s="74"/>
      <c r="G44" s="74"/>
      <c r="H44" s="74"/>
      <c r="I44" s="74"/>
      <c r="J44" s="74"/>
      <c r="K44" s="74"/>
      <c r="L44" s="74"/>
      <c r="M44" s="74"/>
      <c r="N44" s="74"/>
    </row>
    <row r="45" customFormat="false" ht="39" hidden="false" customHeight="true" outlineLevel="0" collapsed="false">
      <c r="C45" s="111" t="s">
        <v>890</v>
      </c>
      <c r="D45" s="80" t="n">
        <v>58600</v>
      </c>
      <c r="E45" s="111" t="s">
        <v>891</v>
      </c>
      <c r="F45" s="74"/>
      <c r="G45" s="74"/>
      <c r="H45" s="74"/>
      <c r="I45" s="74"/>
      <c r="J45" s="74"/>
      <c r="K45" s="74"/>
      <c r="L45" s="74"/>
      <c r="M45" s="74"/>
      <c r="N45" s="74"/>
    </row>
    <row r="46" customFormat="false" ht="39" hidden="false" customHeight="true" outlineLevel="0" collapsed="false">
      <c r="C46" s="111" t="s">
        <v>892</v>
      </c>
      <c r="D46" s="80" t="n">
        <v>55</v>
      </c>
      <c r="E46" s="111" t="s">
        <v>893</v>
      </c>
      <c r="F46" s="74"/>
      <c r="G46" s="74"/>
      <c r="H46" s="74"/>
      <c r="I46" s="74"/>
      <c r="J46" s="74"/>
      <c r="K46" s="74"/>
      <c r="L46" s="74"/>
      <c r="M46" s="74"/>
      <c r="N46" s="74"/>
    </row>
    <row r="47" customFormat="false" ht="39" hidden="false" customHeight="true" outlineLevel="0" collapsed="false">
      <c r="C47" s="111" t="s">
        <v>894</v>
      </c>
      <c r="D47" s="80" t="n">
        <v>14</v>
      </c>
      <c r="E47" s="111" t="s">
        <v>895</v>
      </c>
      <c r="F47" s="74"/>
      <c r="G47" s="74"/>
      <c r="H47" s="74"/>
      <c r="I47" s="74"/>
      <c r="J47" s="74"/>
      <c r="K47" s="74"/>
      <c r="L47" s="74"/>
      <c r="M47" s="74"/>
      <c r="N47" s="74"/>
    </row>
    <row r="48" customFormat="false" ht="39" hidden="false" customHeight="true" outlineLevel="0" collapsed="false">
      <c r="C48" s="111" t="s">
        <v>896</v>
      </c>
      <c r="D48" s="80" t="n">
        <v>11</v>
      </c>
      <c r="E48" s="111" t="s">
        <v>897</v>
      </c>
      <c r="F48" s="74"/>
      <c r="G48" s="74"/>
      <c r="H48" s="74"/>
      <c r="I48" s="74"/>
      <c r="J48" s="74"/>
      <c r="K48" s="74"/>
      <c r="L48" s="74"/>
      <c r="M48" s="74"/>
      <c r="N48" s="74"/>
    </row>
    <row r="49" customFormat="false" ht="39" hidden="false" customHeight="true" outlineLevel="0" collapsed="false">
      <c r="C49" s="111" t="s">
        <v>898</v>
      </c>
      <c r="D49" s="80" t="n">
        <v>5</v>
      </c>
      <c r="E49" s="111" t="s">
        <v>899</v>
      </c>
      <c r="F49" s="74"/>
      <c r="G49" s="74"/>
      <c r="H49" s="74"/>
      <c r="I49" s="74"/>
      <c r="J49" s="74"/>
      <c r="K49" s="74"/>
      <c r="L49" s="74"/>
      <c r="M49" s="74"/>
      <c r="N49" s="74"/>
    </row>
    <row r="50" customFormat="false" ht="39" hidden="false" customHeight="true" outlineLevel="0" collapsed="false">
      <c r="C50" s="111" t="s">
        <v>900</v>
      </c>
      <c r="D50" s="80" t="n">
        <v>180000</v>
      </c>
      <c r="E50" s="111" t="s">
        <v>901</v>
      </c>
      <c r="F50" s="74"/>
      <c r="G50" s="74"/>
      <c r="H50" s="74"/>
      <c r="I50" s="74"/>
      <c r="J50" s="74"/>
      <c r="K50" s="74"/>
      <c r="L50" s="74"/>
      <c r="M50" s="74"/>
      <c r="N50" s="74"/>
    </row>
    <row r="51" customFormat="false" ht="39" hidden="false" customHeight="true" outlineLevel="0" collapsed="false">
      <c r="C51" s="111" t="s">
        <v>902</v>
      </c>
      <c r="D51" s="80" t="n">
        <v>140000</v>
      </c>
      <c r="E51" s="111" t="s">
        <v>903</v>
      </c>
      <c r="F51" s="74"/>
      <c r="G51" s="74"/>
      <c r="H51" s="74"/>
      <c r="I51" s="74"/>
      <c r="J51" s="74"/>
      <c r="K51" s="74"/>
      <c r="L51" s="74"/>
      <c r="M51" s="74"/>
      <c r="N51" s="74"/>
    </row>
    <row r="52" customFormat="false" ht="39" hidden="false" customHeight="true" outlineLevel="0" collapsed="false">
      <c r="C52" s="111" t="s">
        <v>904</v>
      </c>
      <c r="D52" s="80" t="n">
        <v>80000</v>
      </c>
      <c r="E52" s="111" t="s">
        <v>905</v>
      </c>
      <c r="F52" s="74"/>
      <c r="G52" s="74"/>
      <c r="H52" s="74"/>
      <c r="I52" s="74"/>
      <c r="J52" s="74"/>
      <c r="K52" s="74"/>
      <c r="L52" s="74"/>
      <c r="M52" s="74"/>
      <c r="N52" s="74"/>
    </row>
    <row r="53" customFormat="false" ht="39" hidden="false" customHeight="true" outlineLevel="0" collapsed="false">
      <c r="C53" s="111" t="s">
        <v>906</v>
      </c>
      <c r="D53" s="109" t="n">
        <f aca="false">D45*SUM(D46:D49)+SUM(D50:D52)</f>
        <v>5381000</v>
      </c>
      <c r="E53" s="111" t="s">
        <v>907</v>
      </c>
      <c r="F53" s="74"/>
      <c r="G53" s="74"/>
      <c r="H53" s="74"/>
      <c r="I53" s="74"/>
      <c r="J53" s="74"/>
      <c r="K53" s="74"/>
      <c r="L53" s="74"/>
      <c r="M53" s="74"/>
      <c r="N53" s="74"/>
    </row>
    <row r="54" customFormat="false" ht="39" hidden="false" customHeight="true" outlineLevel="0" collapsed="false">
      <c r="C54" s="111" t="s">
        <v>908</v>
      </c>
      <c r="D54" s="92" t="n">
        <v>0</v>
      </c>
      <c r="E54" s="111" t="s">
        <v>909</v>
      </c>
      <c r="F54" s="74"/>
      <c r="G54" s="74"/>
      <c r="H54" s="74"/>
      <c r="I54" s="74"/>
      <c r="J54" s="74"/>
      <c r="K54" s="74"/>
      <c r="L54" s="74"/>
      <c r="M54" s="74"/>
      <c r="N54" s="74"/>
    </row>
    <row r="55" customFormat="false" ht="39" hidden="false" customHeight="true" outlineLevel="0" collapsed="false">
      <c r="C55" s="127" t="s">
        <v>910</v>
      </c>
      <c r="D55" s="140" t="n">
        <f aca="false">D53/(1+D54*'W Assumptions'!$D$39)</f>
        <v>5381000</v>
      </c>
      <c r="E55" s="127"/>
      <c r="F55" s="74"/>
      <c r="G55" s="74"/>
      <c r="H55" s="74"/>
      <c r="I55" s="74"/>
      <c r="J55" s="74"/>
      <c r="K55" s="74"/>
      <c r="L55" s="74"/>
      <c r="M55" s="74"/>
      <c r="N55" s="74"/>
    </row>
    <row r="56" customFormat="false" ht="39" hidden="false" customHeight="true" outlineLevel="0" collapsed="false">
      <c r="C56" s="111" t="s">
        <v>911</v>
      </c>
      <c r="D56" s="90" t="n">
        <v>0.06</v>
      </c>
      <c r="E56" s="111" t="s">
        <v>912</v>
      </c>
      <c r="F56" s="74"/>
      <c r="G56" s="74"/>
      <c r="H56" s="74"/>
      <c r="I56" s="74"/>
      <c r="J56" s="74"/>
      <c r="K56" s="74"/>
      <c r="L56" s="74"/>
      <c r="M56" s="74"/>
      <c r="N56" s="74"/>
    </row>
    <row r="57" customFormat="false" ht="39" hidden="false" customHeight="true" outlineLevel="0" collapsed="false">
      <c r="C57" s="111"/>
      <c r="D57" s="79"/>
      <c r="E57" s="111"/>
      <c r="F57" s="74"/>
      <c r="G57" s="74"/>
      <c r="H57" s="74"/>
      <c r="I57" s="74"/>
      <c r="J57" s="74"/>
      <c r="K57" s="74"/>
      <c r="L57" s="74"/>
      <c r="M57" s="74"/>
      <c r="N57" s="74"/>
    </row>
    <row r="58" customFormat="false" ht="39" hidden="false" customHeight="true" outlineLevel="0" collapsed="false">
      <c r="C58" s="111" t="s">
        <v>913</v>
      </c>
      <c r="D58" s="90" t="n">
        <v>0.04</v>
      </c>
      <c r="E58" s="111" t="s">
        <v>914</v>
      </c>
      <c r="F58" s="74"/>
      <c r="G58" s="74"/>
      <c r="H58" s="74"/>
      <c r="I58" s="74"/>
      <c r="J58" s="74"/>
      <c r="K58" s="74"/>
      <c r="L58" s="74"/>
      <c r="M58" s="74"/>
      <c r="N58" s="74"/>
    </row>
    <row r="59" customFormat="false" ht="24" hidden="false" customHeight="true" outlineLevel="0" collapsed="false"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</row>
    <row r="60" customFormat="false" ht="24" hidden="false" customHeight="true" outlineLevel="0" collapsed="false">
      <c r="C60" s="83" t="s">
        <v>915</v>
      </c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</row>
    <row r="61" customFormat="false" ht="24" hidden="false" customHeight="true" outlineLevel="0" collapsed="false">
      <c r="C61" s="83" t="s">
        <v>916</v>
      </c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</row>
    <row r="62" customFormat="false" ht="24" hidden="false" customHeight="true" outlineLevel="0" collapsed="false">
      <c r="C62" s="83" t="s">
        <v>917</v>
      </c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</row>
    <row r="63" customFormat="false" ht="24" hidden="false" customHeight="true" outlineLevel="0" collapsed="false"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</row>
    <row r="64" customFormat="false" ht="37.5" hidden="false" customHeight="true" outlineLevel="0" collapsed="false">
      <c r="C64" s="78" t="s">
        <v>918</v>
      </c>
      <c r="D64" s="78" t="s">
        <v>919</v>
      </c>
      <c r="E64" s="78" t="s">
        <v>920</v>
      </c>
      <c r="F64" s="78" t="s">
        <v>921</v>
      </c>
      <c r="G64" s="74"/>
      <c r="H64" s="74"/>
      <c r="I64" s="74"/>
      <c r="J64" s="74"/>
      <c r="K64" s="74"/>
      <c r="L64" s="74"/>
      <c r="M64" s="74"/>
      <c r="N64" s="74"/>
    </row>
    <row r="65" customFormat="false" ht="24" hidden="false" customHeight="true" outlineLevel="0" collapsed="false">
      <c r="C65" s="74" t="n">
        <v>1</v>
      </c>
      <c r="D65" s="74" t="s">
        <v>922</v>
      </c>
      <c r="E65" s="90" t="n">
        <v>0.08</v>
      </c>
      <c r="F65" s="92" t="n">
        <v>0</v>
      </c>
      <c r="G65" s="74"/>
      <c r="H65" s="74"/>
      <c r="I65" s="74"/>
      <c r="J65" s="74"/>
      <c r="K65" s="74"/>
      <c r="L65" s="74"/>
      <c r="M65" s="74"/>
      <c r="N65" s="74"/>
    </row>
    <row r="66" customFormat="false" ht="24" hidden="false" customHeight="true" outlineLevel="0" collapsed="false">
      <c r="C66" s="74" t="n">
        <v>2</v>
      </c>
      <c r="D66" s="74" t="s">
        <v>923</v>
      </c>
      <c r="E66" s="90" t="n">
        <v>0.05</v>
      </c>
      <c r="F66" s="92" t="n">
        <v>0</v>
      </c>
      <c r="G66" s="74"/>
      <c r="H66" s="74"/>
      <c r="I66" s="74"/>
      <c r="J66" s="74"/>
      <c r="K66" s="74"/>
      <c r="L66" s="74"/>
      <c r="M66" s="74"/>
      <c r="N66" s="74"/>
    </row>
    <row r="67" customFormat="false" ht="24" hidden="false" customHeight="true" outlineLevel="0" collapsed="false">
      <c r="C67" s="74" t="n">
        <v>3</v>
      </c>
      <c r="D67" s="74" t="s">
        <v>924</v>
      </c>
      <c r="E67" s="90" t="n">
        <v>0.1</v>
      </c>
      <c r="F67" s="92" t="n">
        <v>1</v>
      </c>
      <c r="G67" s="74"/>
      <c r="H67" s="74"/>
      <c r="I67" s="74"/>
      <c r="J67" s="74"/>
      <c r="K67" s="74"/>
      <c r="L67" s="74"/>
      <c r="M67" s="74"/>
      <c r="N67" s="74"/>
    </row>
    <row r="68" customFormat="false" ht="24" hidden="false" customHeight="true" outlineLevel="0" collapsed="false">
      <c r="C68" s="74" t="n">
        <v>4</v>
      </c>
      <c r="D68" s="74" t="s">
        <v>925</v>
      </c>
      <c r="E68" s="90" t="n">
        <v>0.1</v>
      </c>
      <c r="F68" s="92" t="n">
        <v>1</v>
      </c>
      <c r="G68" s="74"/>
      <c r="H68" s="74"/>
      <c r="I68" s="74"/>
      <c r="J68" s="74"/>
      <c r="K68" s="74"/>
      <c r="L68" s="74"/>
      <c r="M68" s="74"/>
      <c r="N68" s="74"/>
    </row>
    <row r="69" customFormat="false" ht="24" hidden="false" customHeight="true" outlineLevel="0" collapsed="false">
      <c r="C69" s="74" t="n">
        <v>5</v>
      </c>
      <c r="D69" s="74" t="s">
        <v>926</v>
      </c>
      <c r="E69" s="90" t="n">
        <v>0.05</v>
      </c>
      <c r="F69" s="92" t="n">
        <v>0</v>
      </c>
      <c r="G69" s="74"/>
      <c r="H69" s="74"/>
      <c r="I69" s="74"/>
      <c r="J69" s="74"/>
      <c r="K69" s="74"/>
      <c r="L69" s="74"/>
      <c r="M69" s="74"/>
      <c r="N69" s="74"/>
    </row>
    <row r="70" customFormat="false" ht="24" hidden="false" customHeight="true" outlineLevel="0" collapsed="false">
      <c r="C70" s="74" t="n">
        <v>6</v>
      </c>
      <c r="D70" s="74" t="s">
        <v>927</v>
      </c>
      <c r="E70" s="90" t="n">
        <v>0.1</v>
      </c>
      <c r="F70" s="92" t="n">
        <v>1</v>
      </c>
      <c r="G70" s="74"/>
      <c r="H70" s="74"/>
      <c r="I70" s="74"/>
      <c r="J70" s="74"/>
      <c r="K70" s="74"/>
      <c r="L70" s="74"/>
      <c r="M70" s="74"/>
      <c r="N70" s="74"/>
    </row>
    <row r="71" customFormat="false" ht="24" hidden="false" customHeight="true" outlineLevel="0" collapsed="false">
      <c r="C71" s="74" t="n">
        <v>7</v>
      </c>
      <c r="D71" s="74" t="s">
        <v>928</v>
      </c>
      <c r="E71" s="90" t="n">
        <v>0.12</v>
      </c>
      <c r="F71" s="92" t="n">
        <v>1</v>
      </c>
      <c r="G71" s="74"/>
      <c r="H71" s="74"/>
      <c r="I71" s="74"/>
      <c r="J71" s="74"/>
      <c r="K71" s="74"/>
      <c r="L71" s="74"/>
      <c r="M71" s="74"/>
      <c r="N71" s="74"/>
    </row>
    <row r="72" customFormat="false" ht="24" hidden="false" customHeight="true" outlineLevel="0" collapsed="false">
      <c r="C72" s="74" t="n">
        <v>8</v>
      </c>
      <c r="D72" s="74" t="s">
        <v>929</v>
      </c>
      <c r="E72" s="90" t="n">
        <v>0.09</v>
      </c>
      <c r="F72" s="92" t="n">
        <v>0</v>
      </c>
      <c r="G72" s="74"/>
      <c r="H72" s="74"/>
      <c r="I72" s="74"/>
      <c r="J72" s="74"/>
      <c r="K72" s="74"/>
      <c r="L72" s="74"/>
      <c r="M72" s="74"/>
      <c r="N72" s="74"/>
    </row>
    <row r="73" customFormat="false" ht="24" hidden="false" customHeight="true" outlineLevel="0" collapsed="false">
      <c r="C73" s="74" t="n">
        <v>9</v>
      </c>
      <c r="D73" s="74" t="s">
        <v>930</v>
      </c>
      <c r="E73" s="90" t="n">
        <v>0.05</v>
      </c>
      <c r="F73" s="92" t="n">
        <v>0</v>
      </c>
      <c r="G73" s="74"/>
      <c r="H73" s="74"/>
      <c r="I73" s="74"/>
      <c r="J73" s="74"/>
      <c r="K73" s="74"/>
      <c r="L73" s="74"/>
      <c r="M73" s="74"/>
      <c r="N73" s="74"/>
    </row>
    <row r="74" customFormat="false" ht="24" hidden="false" customHeight="true" outlineLevel="0" collapsed="false">
      <c r="C74" s="74" t="n">
        <v>10</v>
      </c>
      <c r="D74" s="74" t="s">
        <v>931</v>
      </c>
      <c r="E74" s="90" t="n">
        <v>0.08</v>
      </c>
      <c r="F74" s="92" t="n">
        <v>0</v>
      </c>
      <c r="G74" s="74"/>
      <c r="H74" s="74"/>
      <c r="I74" s="74"/>
      <c r="J74" s="74"/>
      <c r="K74" s="74"/>
      <c r="L74" s="74"/>
      <c r="M74" s="74"/>
      <c r="N74" s="74"/>
    </row>
    <row r="75" customFormat="false" ht="24" hidden="false" customHeight="true" outlineLevel="0" collapsed="false">
      <c r="C75" s="74" t="n">
        <v>11</v>
      </c>
      <c r="D75" s="74" t="s">
        <v>932</v>
      </c>
      <c r="E75" s="90" t="n">
        <v>0.06</v>
      </c>
      <c r="F75" s="92" t="n">
        <v>0</v>
      </c>
      <c r="G75" s="74"/>
      <c r="H75" s="74"/>
      <c r="I75" s="74"/>
      <c r="J75" s="74"/>
      <c r="K75" s="74"/>
      <c r="L75" s="74"/>
      <c r="M75" s="74"/>
      <c r="N75" s="74"/>
    </row>
    <row r="76" customFormat="false" ht="24" hidden="false" customHeight="true" outlineLevel="0" collapsed="false">
      <c r="C76" s="74" t="n">
        <v>12</v>
      </c>
      <c r="D76" s="74" t="s">
        <v>933</v>
      </c>
      <c r="E76" s="90" t="n">
        <v>0.12</v>
      </c>
      <c r="F76" s="92" t="n">
        <v>0</v>
      </c>
      <c r="G76" s="74"/>
      <c r="H76" s="74"/>
      <c r="I76" s="74"/>
      <c r="J76" s="74"/>
      <c r="K76" s="74"/>
      <c r="L76" s="74"/>
      <c r="M76" s="74"/>
      <c r="N76" s="74"/>
    </row>
    <row r="77" customFormat="false" ht="24" hidden="false" customHeight="true" outlineLevel="0" collapsed="false">
      <c r="C77" s="74"/>
      <c r="D77" s="74" t="s">
        <v>934</v>
      </c>
      <c r="E77" s="113" t="n">
        <f aca="false">SUM(E65:E76)</f>
        <v>1</v>
      </c>
      <c r="F77" s="74"/>
      <c r="G77" s="74"/>
      <c r="H77" s="74"/>
      <c r="I77" s="74"/>
      <c r="J77" s="74"/>
      <c r="K77" s="74"/>
      <c r="L77" s="74"/>
      <c r="M77" s="74"/>
      <c r="N77" s="74"/>
    </row>
    <row r="78" customFormat="false" ht="24" hidden="false" customHeight="true" outlineLevel="0" collapsed="false"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</row>
    <row r="79" customFormat="false" ht="24" hidden="false" customHeight="true" outlineLevel="0" collapsed="false"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</row>
    <row r="80" customFormat="false" ht="24" hidden="false" customHeight="true" outlineLevel="0" collapsed="false"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</row>
    <row r="81" customFormat="false" ht="37.5" hidden="false" customHeight="true" outlineLevel="0" collapsed="false">
      <c r="C81" s="78" t="s">
        <v>935</v>
      </c>
      <c r="D81" s="78" t="s">
        <v>936</v>
      </c>
      <c r="E81" s="74"/>
      <c r="F81" s="74"/>
      <c r="G81" s="74"/>
      <c r="H81" s="74"/>
      <c r="I81" s="74"/>
      <c r="J81" s="74"/>
      <c r="K81" s="74"/>
      <c r="L81" s="74"/>
      <c r="M81" s="74"/>
      <c r="N81" s="74"/>
    </row>
    <row r="82" customFormat="false" ht="24" hidden="false" customHeight="true" outlineLevel="0" collapsed="false">
      <c r="C82" s="74" t="s">
        <v>937</v>
      </c>
      <c r="D82" s="81" t="n">
        <f aca="false">$D$45*$D$46/(1+$D$54*'W Assumptions'!$D$39)</f>
        <v>3223000</v>
      </c>
      <c r="E82" s="74"/>
      <c r="F82" s="74"/>
      <c r="G82" s="74"/>
      <c r="H82" s="74"/>
      <c r="I82" s="74"/>
      <c r="J82" s="74"/>
      <c r="K82" s="74"/>
      <c r="L82" s="74"/>
      <c r="M82" s="74"/>
      <c r="N82" s="74"/>
    </row>
    <row r="83" customFormat="false" ht="24" hidden="false" customHeight="true" outlineLevel="0" collapsed="false">
      <c r="C83" s="74" t="s">
        <v>938</v>
      </c>
      <c r="D83" s="81" t="n">
        <f aca="false">$D$45*$D$47/(1+$D$54*'W Assumptions'!$D$39)</f>
        <v>820400</v>
      </c>
      <c r="E83" s="74"/>
      <c r="F83" s="74"/>
      <c r="G83" s="74"/>
      <c r="H83" s="74"/>
      <c r="I83" s="74"/>
      <c r="J83" s="74"/>
      <c r="K83" s="74"/>
      <c r="L83" s="74"/>
      <c r="M83" s="74"/>
      <c r="N83" s="74"/>
    </row>
    <row r="84" customFormat="false" ht="24" hidden="false" customHeight="true" outlineLevel="0" collapsed="false">
      <c r="C84" s="74" t="s">
        <v>939</v>
      </c>
      <c r="D84" s="81" t="n">
        <f aca="false">$D$45*$D$48/(1+$D$54*'W Assumptions'!$D$39)</f>
        <v>644600</v>
      </c>
      <c r="E84" s="74"/>
      <c r="F84" s="74"/>
      <c r="G84" s="74"/>
      <c r="H84" s="74"/>
      <c r="I84" s="74"/>
      <c r="J84" s="74"/>
      <c r="K84" s="74"/>
      <c r="L84" s="74"/>
      <c r="M84" s="74"/>
      <c r="N84" s="74"/>
    </row>
    <row r="85" customFormat="false" ht="24" hidden="false" customHeight="true" outlineLevel="0" collapsed="false">
      <c r="C85" s="74" t="s">
        <v>940</v>
      </c>
      <c r="D85" s="81" t="n">
        <f aca="false">$D$45*$D$49/(1+$D$54*'W Assumptions'!$D$39)</f>
        <v>293000</v>
      </c>
      <c r="E85" s="74"/>
      <c r="F85" s="74"/>
      <c r="G85" s="74"/>
      <c r="H85" s="74"/>
      <c r="I85" s="74"/>
      <c r="J85" s="74"/>
      <c r="K85" s="74"/>
      <c r="L85" s="74"/>
      <c r="M85" s="74"/>
      <c r="N85" s="74"/>
    </row>
    <row r="86" customFormat="false" ht="24" hidden="false" customHeight="true" outlineLevel="0" collapsed="false">
      <c r="C86" s="74" t="s">
        <v>941</v>
      </c>
      <c r="D86" s="81" t="n">
        <f aca="false">$D$50/(1+$D$54*'W Assumptions'!$D$39)</f>
        <v>180000</v>
      </c>
      <c r="E86" s="74"/>
      <c r="F86" s="74"/>
      <c r="G86" s="74"/>
      <c r="H86" s="74"/>
      <c r="I86" s="74"/>
      <c r="J86" s="74"/>
      <c r="K86" s="74"/>
      <c r="L86" s="74"/>
      <c r="M86" s="74"/>
      <c r="N86" s="74"/>
    </row>
    <row r="87" customFormat="false" ht="24" hidden="false" customHeight="true" outlineLevel="0" collapsed="false">
      <c r="C87" s="74" t="s">
        <v>942</v>
      </c>
      <c r="D87" s="81" t="n">
        <f aca="false">$D$51/(1+$D$54*'W Assumptions'!$D$39)</f>
        <v>140000</v>
      </c>
      <c r="E87" s="74"/>
      <c r="F87" s="74"/>
      <c r="G87" s="74"/>
      <c r="H87" s="74"/>
      <c r="I87" s="74"/>
      <c r="J87" s="74"/>
      <c r="K87" s="74"/>
      <c r="L87" s="74"/>
      <c r="M87" s="74"/>
      <c r="N87" s="74"/>
    </row>
    <row r="88" customFormat="false" ht="24" hidden="false" customHeight="true" outlineLevel="0" collapsed="false">
      <c r="C88" s="74" t="s">
        <v>943</v>
      </c>
      <c r="D88" s="81" t="n">
        <f aca="false">$D$52/(1+$D$54*'W Assumptions'!$D$39)</f>
        <v>80000</v>
      </c>
      <c r="E88" s="74"/>
      <c r="F88" s="74"/>
      <c r="G88" s="74"/>
      <c r="H88" s="74"/>
      <c r="I88" s="74"/>
      <c r="J88" s="74"/>
      <c r="K88" s="74"/>
      <c r="L88" s="74"/>
      <c r="M88" s="74"/>
      <c r="N88" s="74"/>
    </row>
    <row r="89" customFormat="false" ht="24" hidden="false" customHeight="true" outlineLevel="0" collapsed="false">
      <c r="C89" s="86" t="s">
        <v>944</v>
      </c>
      <c r="D89" s="94" t="n">
        <f aca="false">SUM(D82:D88)</f>
        <v>5381000</v>
      </c>
      <c r="E89" s="74"/>
      <c r="F89" s="74"/>
      <c r="G89" s="74"/>
      <c r="H89" s="74"/>
      <c r="I89" s="74"/>
      <c r="J89" s="74"/>
      <c r="K89" s="74"/>
      <c r="L89" s="74"/>
      <c r="M89" s="74"/>
      <c r="N89" s="74"/>
    </row>
    <row r="90" customFormat="false" ht="24" hidden="false" customHeight="true" outlineLevel="0" collapsed="false"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</row>
    <row r="91" customFormat="false" ht="24" hidden="false" customHeight="true" outlineLevel="0" collapsed="false"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</row>
    <row r="92" customFormat="false" ht="24" hidden="false" customHeight="true" outlineLevel="0" collapsed="false"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</row>
    <row r="93" customFormat="false" ht="24" hidden="false" customHeight="true" outlineLevel="0" collapsed="false"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</row>
    <row r="94" customFormat="false" ht="24" hidden="false" customHeight="true" outlineLevel="0" collapsed="false"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</row>
    <row r="95" customFormat="false" ht="24" hidden="false" customHeight="true" outlineLevel="0" collapsed="false"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</row>
    <row r="96" customFormat="false" ht="24" hidden="false" customHeight="true" outlineLevel="0" collapsed="false"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</row>
  </sheetData>
  <dataValidations count="2">
    <dataValidation allowBlank="false" errorStyle="stop" operator="between" showDropDown="false" showErrorMessage="false" showInputMessage="false" sqref="G6:G15" type="whole">
      <formula1>0</formula1>
      <formula2>1</formula2>
    </dataValidation>
    <dataValidation allowBlank="false" errorStyle="stop" operator="between" showDropDown="false" showErrorMessage="false" showInputMessage="false" sqref="D54" type="whole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8C1C6"/>
    <pageSetUpPr fitToPage="false"/>
  </sheetPr>
  <dimension ref="C1:Y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2.5"/>
    <col collapsed="false" customWidth="true" hidden="false" outlineLevel="0" max="3" min="3" style="0" width="31"/>
    <col collapsed="false" customWidth="true" hidden="false" outlineLevel="0" max="5" min="4" style="0" width="27"/>
    <col collapsed="false" customWidth="true" hidden="false" outlineLevel="0" max="21" min="6" style="0" width="14"/>
    <col collapsed="false" customWidth="true" hidden="false" outlineLevel="0" max="25" min="22" style="0" width="19"/>
  </cols>
  <sheetData>
    <row r="1" customFormat="false" ht="21" hidden="false" customHeight="true" outlineLevel="0" collapsed="false"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</row>
    <row r="2" customFormat="false" ht="30" hidden="false" customHeight="true" outlineLevel="0" collapsed="false">
      <c r="C2" s="75" t="s">
        <v>945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</row>
    <row r="3" customFormat="false" ht="21" hidden="false" customHeight="true" outlineLevel="0" collapsed="false"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</row>
    <row r="4" customFormat="false" ht="21" hidden="false" customHeight="true" outlineLevel="0" collapsed="false">
      <c r="C4" s="74" t="s">
        <v>580</v>
      </c>
      <c r="D4" s="77" t="str">
        <f aca="false">'W Assumptions'!D3</f>
        <v>Base</v>
      </c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</row>
    <row r="5" customFormat="false" ht="37.5" hidden="false" customHeight="true" outlineLevel="0" collapsed="false">
      <c r="C5" s="78" t="s">
        <v>581</v>
      </c>
      <c r="D5" s="78" t="s">
        <v>582</v>
      </c>
      <c r="E5" s="78" t="s">
        <v>946</v>
      </c>
      <c r="F5" s="78" t="s">
        <v>947</v>
      </c>
      <c r="G5" s="78" t="s">
        <v>948</v>
      </c>
      <c r="H5" s="78" t="s">
        <v>949</v>
      </c>
      <c r="I5" s="78" t="s">
        <v>950</v>
      </c>
      <c r="J5" s="78" t="s">
        <v>951</v>
      </c>
      <c r="K5" s="78" t="s">
        <v>952</v>
      </c>
      <c r="L5" s="78" t="s">
        <v>953</v>
      </c>
      <c r="M5" s="78" t="s">
        <v>954</v>
      </c>
      <c r="N5" s="78" t="s">
        <v>955</v>
      </c>
      <c r="O5" s="78" t="s">
        <v>956</v>
      </c>
      <c r="P5" s="78" t="s">
        <v>957</v>
      </c>
      <c r="Q5" s="78" t="s">
        <v>958</v>
      </c>
      <c r="R5" s="78" t="s">
        <v>959</v>
      </c>
      <c r="S5" s="78" t="s">
        <v>584</v>
      </c>
      <c r="T5" s="78" t="s">
        <v>960</v>
      </c>
      <c r="U5" s="74"/>
      <c r="V5" s="78" t="s">
        <v>961</v>
      </c>
      <c r="W5" s="78" t="s">
        <v>962</v>
      </c>
      <c r="X5" s="78" t="s">
        <v>963</v>
      </c>
      <c r="Y5" s="78" t="s">
        <v>964</v>
      </c>
    </row>
    <row r="6" customFormat="false" ht="34.5" hidden="false" customHeight="true" outlineLevel="0" collapsed="false">
      <c r="C6" s="74" t="s">
        <v>148</v>
      </c>
      <c r="D6" s="79" t="s">
        <v>591</v>
      </c>
      <c r="E6" s="80" t="s">
        <v>965</v>
      </c>
      <c r="F6" s="80"/>
      <c r="G6" s="80"/>
      <c r="H6" s="80"/>
      <c r="I6" s="109" t="n">
        <f aca="false">D26</f>
        <v>108500</v>
      </c>
      <c r="J6" s="80" t="n">
        <f aca="false">'WOO Sites'!I6</f>
        <v>15000</v>
      </c>
      <c r="K6" s="90" t="n">
        <f aca="false">'WOO Sites'!J6</f>
        <v>0</v>
      </c>
      <c r="L6" s="141" t="n">
        <f aca="false">D31</f>
        <v>6000</v>
      </c>
      <c r="M6" s="141" t="n">
        <f aca="false">D29</f>
        <v>6000</v>
      </c>
      <c r="N6" s="141" t="n">
        <f aca="false">D27</f>
        <v>12000</v>
      </c>
      <c r="O6" s="141" t="n">
        <f aca="false">D32</f>
        <v>4000</v>
      </c>
      <c r="P6" s="141" t="n">
        <f aca="false">D30</f>
        <v>10000</v>
      </c>
      <c r="Q6" s="141" t="n">
        <f aca="false">SUM(D28,D34:D35)</f>
        <v>36000</v>
      </c>
      <c r="R6" s="90" t="n">
        <v>0</v>
      </c>
      <c r="S6" s="80" t="n">
        <v>30000</v>
      </c>
      <c r="T6" s="109" t="n">
        <f aca="false">SUM(J6,L6:Q6)</f>
        <v>89000</v>
      </c>
      <c r="U6" s="79"/>
      <c r="V6" s="142" t="n">
        <f aca="false">E26</f>
        <v>54500</v>
      </c>
      <c r="W6" s="142" t="n">
        <f aca="false">SUM(E27:E32,E34:E35)</f>
        <v>33000</v>
      </c>
      <c r="X6" s="142" t="n">
        <f aca="false">D33</f>
        <v>18000</v>
      </c>
      <c r="Y6" s="142" t="n">
        <f aca="false">E33</f>
        <v>7000</v>
      </c>
    </row>
    <row r="7" customFormat="false" ht="34.5" hidden="false" customHeight="true" outlineLevel="0" collapsed="false">
      <c r="C7" s="74" t="s">
        <v>152</v>
      </c>
      <c r="D7" s="79" t="s">
        <v>594</v>
      </c>
      <c r="E7" s="80" t="n">
        <v>1</v>
      </c>
      <c r="F7" s="80" t="n">
        <v>3</v>
      </c>
      <c r="G7" s="80" t="n">
        <v>1</v>
      </c>
      <c r="H7" s="80" t="n">
        <v>1</v>
      </c>
      <c r="I7" s="81" t="n">
        <f aca="false">(E7*'W Assumptions'!$D$40+F7*'W Assumptions'!$D$41+G7*'W Assumptions'!$D$42+H7*'W Assumptions'!$D$43)*(1+'W Assumptions'!$D$44)</f>
        <v>32450</v>
      </c>
      <c r="J7" s="80" t="n">
        <f aca="false">'WOO Sites'!I7</f>
        <v>0</v>
      </c>
      <c r="K7" s="90" t="n">
        <f aca="false">'WOO Sites'!J7</f>
        <v>0.15</v>
      </c>
      <c r="L7" s="80" t="n">
        <v>3500</v>
      </c>
      <c r="M7" s="80" t="n">
        <v>2500</v>
      </c>
      <c r="N7" s="80" t="n">
        <v>1500</v>
      </c>
      <c r="O7" s="80" t="n">
        <v>1000</v>
      </c>
      <c r="P7" s="80" t="n">
        <v>2500</v>
      </c>
      <c r="Q7" s="80" t="n">
        <v>700</v>
      </c>
      <c r="R7" s="90" t="n">
        <v>0.06</v>
      </c>
      <c r="S7" s="80" t="n">
        <v>10000</v>
      </c>
      <c r="T7" s="109" t="n">
        <f aca="false">SUM(J7,L7:Q7)</f>
        <v>11700</v>
      </c>
      <c r="U7" s="79"/>
    </row>
    <row r="8" customFormat="false" ht="34.5" hidden="false" customHeight="true" outlineLevel="0" collapsed="false">
      <c r="C8" s="74" t="s">
        <v>155</v>
      </c>
      <c r="D8" s="79" t="s">
        <v>595</v>
      </c>
      <c r="E8" s="80" t="n">
        <v>1</v>
      </c>
      <c r="F8" s="80" t="n">
        <v>5</v>
      </c>
      <c r="G8" s="80" t="n">
        <v>2</v>
      </c>
      <c r="H8" s="80" t="n">
        <v>1</v>
      </c>
      <c r="I8" s="81" t="n">
        <f aca="false">(E8*'W Assumptions'!$D$40+F8*'W Assumptions'!$D$41+G8*'W Assumptions'!$D$42+H8*'W Assumptions'!$D$43)*(1+'W Assumptions'!$D$44)</f>
        <v>48026</v>
      </c>
      <c r="J8" s="80" t="n">
        <f aca="false">'WOO Sites'!I8</f>
        <v>35000</v>
      </c>
      <c r="K8" s="90" t="n">
        <f aca="false">'WOO Sites'!J8</f>
        <v>0</v>
      </c>
      <c r="L8" s="80" t="n">
        <v>6000</v>
      </c>
      <c r="M8" s="80" t="n">
        <v>3500</v>
      </c>
      <c r="N8" s="80" t="n">
        <v>2500</v>
      </c>
      <c r="O8" s="80" t="n">
        <v>1500</v>
      </c>
      <c r="P8" s="80" t="n">
        <v>5000</v>
      </c>
      <c r="Q8" s="80" t="n">
        <v>1000</v>
      </c>
      <c r="R8" s="90" t="n">
        <v>0.08</v>
      </c>
      <c r="S8" s="80" t="n">
        <v>35000</v>
      </c>
      <c r="T8" s="109" t="n">
        <f aca="false">SUM(J8,L8:Q8)</f>
        <v>54500</v>
      </c>
      <c r="U8" s="79"/>
    </row>
    <row r="9" customFormat="false" ht="34.5" hidden="false" customHeight="true" outlineLevel="0" collapsed="false">
      <c r="C9" s="74" t="s">
        <v>158</v>
      </c>
      <c r="D9" s="79" t="s">
        <v>596</v>
      </c>
      <c r="E9" s="80" t="n">
        <v>1</v>
      </c>
      <c r="F9" s="80" t="n">
        <v>4</v>
      </c>
      <c r="G9" s="80" t="n">
        <v>1</v>
      </c>
      <c r="H9" s="80" t="n">
        <v>1</v>
      </c>
      <c r="I9" s="81" t="n">
        <f aca="false">(E9*'W Assumptions'!$D$40+F9*'W Assumptions'!$D$41+G9*'W Assumptions'!$D$42+H9*'W Assumptions'!$D$43)*(1+'W Assumptions'!$D$44)</f>
        <v>37760</v>
      </c>
      <c r="J9" s="80" t="n">
        <f aca="false">'WOO Sites'!I9</f>
        <v>22000</v>
      </c>
      <c r="K9" s="90" t="n">
        <f aca="false">'WOO Sites'!J9</f>
        <v>0</v>
      </c>
      <c r="L9" s="80" t="n">
        <v>4500</v>
      </c>
      <c r="M9" s="80" t="n">
        <v>3000</v>
      </c>
      <c r="N9" s="80" t="n">
        <v>2000</v>
      </c>
      <c r="O9" s="80" t="n">
        <v>1500</v>
      </c>
      <c r="P9" s="80" t="n">
        <v>3500</v>
      </c>
      <c r="Q9" s="80" t="n">
        <v>1000</v>
      </c>
      <c r="R9" s="90" t="n">
        <v>0.08</v>
      </c>
      <c r="S9" s="80" t="n">
        <v>25000</v>
      </c>
      <c r="T9" s="109" t="n">
        <f aca="false">SUM(J9,L9:Q9)</f>
        <v>37500</v>
      </c>
      <c r="U9" s="79"/>
    </row>
    <row r="10" customFormat="false" ht="34.5" hidden="false" customHeight="true" outlineLevel="0" collapsed="false">
      <c r="C10" s="74" t="s">
        <v>160</v>
      </c>
      <c r="D10" s="79" t="s">
        <v>597</v>
      </c>
      <c r="E10" s="80" t="n">
        <v>1</v>
      </c>
      <c r="F10" s="80" t="n">
        <v>5</v>
      </c>
      <c r="G10" s="80" t="n">
        <v>2</v>
      </c>
      <c r="H10" s="80" t="n">
        <v>1</v>
      </c>
      <c r="I10" s="81" t="n">
        <f aca="false">(E10*'W Assumptions'!$D$40+F10*'W Assumptions'!$D$41+G10*'W Assumptions'!$D$42+H10*'W Assumptions'!$D$43)*(1+'W Assumptions'!$D$44)</f>
        <v>48026</v>
      </c>
      <c r="J10" s="80" t="n">
        <f aca="false">'WOO Sites'!I10</f>
        <v>30000</v>
      </c>
      <c r="K10" s="90" t="n">
        <f aca="false">'WOO Sites'!J10</f>
        <v>0</v>
      </c>
      <c r="L10" s="80" t="n">
        <v>6000</v>
      </c>
      <c r="M10" s="80" t="n">
        <v>3500</v>
      </c>
      <c r="N10" s="80" t="n">
        <v>2500</v>
      </c>
      <c r="O10" s="80" t="n">
        <v>1500</v>
      </c>
      <c r="P10" s="80" t="n">
        <v>4500</v>
      </c>
      <c r="Q10" s="80" t="n">
        <v>1000</v>
      </c>
      <c r="R10" s="90" t="n">
        <v>0.08</v>
      </c>
      <c r="S10" s="80" t="n">
        <v>35000</v>
      </c>
      <c r="T10" s="109" t="n">
        <f aca="false">SUM(J10,L10:Q10)</f>
        <v>49000</v>
      </c>
      <c r="U10" s="79"/>
    </row>
    <row r="11" customFormat="false" ht="34.5" hidden="false" customHeight="true" outlineLevel="0" collapsed="false">
      <c r="C11" s="74" t="s">
        <v>162</v>
      </c>
      <c r="D11" s="79" t="s">
        <v>598</v>
      </c>
      <c r="E11" s="80" t="n">
        <v>1</v>
      </c>
      <c r="F11" s="80" t="n">
        <v>2</v>
      </c>
      <c r="G11" s="80" t="n">
        <v>1</v>
      </c>
      <c r="H11" s="80" t="n">
        <v>0</v>
      </c>
      <c r="I11" s="81" t="n">
        <f aca="false">(E11*'W Assumptions'!$D$40+F11*'W Assumptions'!$D$41+G11*'W Assumptions'!$D$42+H11*'W Assumptions'!$D$43)*(1+'W Assumptions'!$D$44)</f>
        <v>23836</v>
      </c>
      <c r="J11" s="80" t="n">
        <f aca="false">'WOO Sites'!I11</f>
        <v>5000</v>
      </c>
      <c r="K11" s="90" t="n">
        <f aca="false">'WOO Sites'!J11</f>
        <v>0</v>
      </c>
      <c r="L11" s="80" t="n">
        <v>2000</v>
      </c>
      <c r="M11" s="80" t="n">
        <v>1500</v>
      </c>
      <c r="N11" s="80" t="n">
        <v>1000</v>
      </c>
      <c r="O11" s="80" t="n">
        <v>800</v>
      </c>
      <c r="P11" s="80" t="n">
        <v>2000</v>
      </c>
      <c r="Q11" s="80" t="n">
        <v>700</v>
      </c>
      <c r="R11" s="90" t="n">
        <v>0.1</v>
      </c>
      <c r="S11" s="80" t="n">
        <v>15000</v>
      </c>
      <c r="T11" s="109" t="n">
        <f aca="false">SUM(J11,L11:Q11)</f>
        <v>13000</v>
      </c>
      <c r="U11" s="79"/>
    </row>
    <row r="12" customFormat="false" ht="34.5" hidden="false" customHeight="true" outlineLevel="0" collapsed="false">
      <c r="C12" s="74" t="s">
        <v>164</v>
      </c>
      <c r="D12" s="79" t="s">
        <v>599</v>
      </c>
      <c r="E12" s="80" t="n">
        <v>1</v>
      </c>
      <c r="F12" s="80" t="n">
        <v>2</v>
      </c>
      <c r="G12" s="80" t="n">
        <v>1</v>
      </c>
      <c r="H12" s="80" t="n">
        <v>0</v>
      </c>
      <c r="I12" s="81" t="n">
        <f aca="false">(E12*'W Assumptions'!$D$40+F12*'W Assumptions'!$D$41+G12*'W Assumptions'!$D$42+H12*'W Assumptions'!$D$43)*(1+'W Assumptions'!$D$44)</f>
        <v>23836</v>
      </c>
      <c r="J12" s="80" t="n">
        <f aca="false">'WOO Sites'!I12</f>
        <v>8000</v>
      </c>
      <c r="K12" s="90" t="n">
        <f aca="false">'WOO Sites'!J12</f>
        <v>0</v>
      </c>
      <c r="L12" s="80" t="n">
        <v>2500</v>
      </c>
      <c r="M12" s="80" t="n">
        <v>1500</v>
      </c>
      <c r="N12" s="80" t="n">
        <v>1000</v>
      </c>
      <c r="O12" s="80" t="n">
        <v>800</v>
      </c>
      <c r="P12" s="80" t="n">
        <v>2000</v>
      </c>
      <c r="Q12" s="80" t="n">
        <v>700</v>
      </c>
      <c r="R12" s="90" t="n">
        <v>0.1</v>
      </c>
      <c r="S12" s="80" t="n">
        <v>20000</v>
      </c>
      <c r="T12" s="109" t="n">
        <f aca="false">SUM(J12,L12:Q12)</f>
        <v>16500</v>
      </c>
      <c r="U12" s="79"/>
    </row>
    <row r="13" customFormat="false" ht="34.5" hidden="false" customHeight="true" outlineLevel="0" collapsed="false">
      <c r="C13" s="74" t="s">
        <v>166</v>
      </c>
      <c r="D13" s="79" t="s">
        <v>600</v>
      </c>
      <c r="E13" s="80" t="n">
        <v>1</v>
      </c>
      <c r="F13" s="80" t="n">
        <v>6</v>
      </c>
      <c r="G13" s="80" t="n">
        <v>2</v>
      </c>
      <c r="H13" s="80" t="n">
        <v>1</v>
      </c>
      <c r="I13" s="81" t="n">
        <f aca="false">(E13*'W Assumptions'!$D$40+F13*'W Assumptions'!$D$41+G13*'W Assumptions'!$D$42+H13*'W Assumptions'!$D$43)*(1+'W Assumptions'!$D$44)</f>
        <v>53336</v>
      </c>
      <c r="J13" s="80" t="n">
        <f aca="false">'WOO Sites'!I13</f>
        <v>0</v>
      </c>
      <c r="K13" s="90" t="n">
        <f aca="false">'WOO Sites'!J13</f>
        <v>0.1</v>
      </c>
      <c r="L13" s="80" t="n">
        <v>8000</v>
      </c>
      <c r="M13" s="80" t="n">
        <v>5000</v>
      </c>
      <c r="N13" s="80" t="n">
        <v>4000</v>
      </c>
      <c r="O13" s="80" t="n">
        <v>2000</v>
      </c>
      <c r="P13" s="80" t="n">
        <v>5000</v>
      </c>
      <c r="Q13" s="80" t="n">
        <v>1500</v>
      </c>
      <c r="R13" s="90" t="n">
        <v>0.08</v>
      </c>
      <c r="S13" s="80" t="n">
        <v>60000</v>
      </c>
      <c r="T13" s="109" t="n">
        <f aca="false">SUM(J13,L13:Q13)</f>
        <v>25500</v>
      </c>
      <c r="U13" s="79"/>
    </row>
    <row r="14" customFormat="false" ht="34.5" hidden="false" customHeight="true" outlineLevel="0" collapsed="false">
      <c r="C14" s="74" t="s">
        <v>169</v>
      </c>
      <c r="D14" s="79" t="s">
        <v>601</v>
      </c>
      <c r="E14" s="80" t="n">
        <v>1</v>
      </c>
      <c r="F14" s="80" t="n">
        <v>7</v>
      </c>
      <c r="G14" s="80" t="n">
        <v>2</v>
      </c>
      <c r="H14" s="80" t="n">
        <v>1</v>
      </c>
      <c r="I14" s="81" t="n">
        <f aca="false">(E14*'W Assumptions'!$D$40+F14*'W Assumptions'!$D$41+G14*'W Assumptions'!$D$42+H14*'W Assumptions'!$D$43)*(1+'W Assumptions'!$D$44)</f>
        <v>58646</v>
      </c>
      <c r="J14" s="80" t="n">
        <f aca="false">'WOO Sites'!I14</f>
        <v>50000</v>
      </c>
      <c r="K14" s="90" t="n">
        <f aca="false">'WOO Sites'!J14</f>
        <v>0</v>
      </c>
      <c r="L14" s="80" t="n">
        <v>8000</v>
      </c>
      <c r="M14" s="80" t="n">
        <v>5000</v>
      </c>
      <c r="N14" s="80" t="n">
        <v>4000</v>
      </c>
      <c r="O14" s="80" t="n">
        <v>2500</v>
      </c>
      <c r="P14" s="80" t="n">
        <v>6500</v>
      </c>
      <c r="Q14" s="80" t="n">
        <v>1500</v>
      </c>
      <c r="R14" s="90" t="n">
        <v>0.1</v>
      </c>
      <c r="S14" s="80" t="n">
        <v>60000</v>
      </c>
      <c r="T14" s="109" t="n">
        <f aca="false">SUM(J14,L14:Q14)</f>
        <v>77500</v>
      </c>
      <c r="U14" s="79"/>
    </row>
    <row r="15" customFormat="false" ht="34.5" hidden="false" customHeight="true" outlineLevel="0" collapsed="false">
      <c r="C15" s="74" t="s">
        <v>172</v>
      </c>
      <c r="D15" s="79" t="s">
        <v>602</v>
      </c>
      <c r="E15" s="80" t="n">
        <v>1</v>
      </c>
      <c r="F15" s="80" t="n">
        <v>7</v>
      </c>
      <c r="G15" s="80" t="n">
        <v>2</v>
      </c>
      <c r="H15" s="80" t="n">
        <v>1</v>
      </c>
      <c r="I15" s="81" t="n">
        <f aca="false">(E15*'W Assumptions'!$D$40+F15*'W Assumptions'!$D$41+G15*'W Assumptions'!$D$42+H15*'W Assumptions'!$D$43)*(1+'W Assumptions'!$D$44)</f>
        <v>58646</v>
      </c>
      <c r="J15" s="80" t="n">
        <f aca="false">'WOO Sites'!I15</f>
        <v>40000</v>
      </c>
      <c r="K15" s="90" t="n">
        <f aca="false">'WOO Sites'!J15</f>
        <v>0</v>
      </c>
      <c r="L15" s="80" t="n">
        <v>8000</v>
      </c>
      <c r="M15" s="80" t="n">
        <v>5000</v>
      </c>
      <c r="N15" s="80" t="n">
        <v>3500</v>
      </c>
      <c r="O15" s="80" t="n">
        <v>2000</v>
      </c>
      <c r="P15" s="80" t="n">
        <v>5500</v>
      </c>
      <c r="Q15" s="80" t="n">
        <v>1500</v>
      </c>
      <c r="R15" s="90" t="n">
        <v>0.1</v>
      </c>
      <c r="S15" s="80" t="n">
        <v>45000</v>
      </c>
      <c r="T15" s="109" t="n">
        <f aca="false">SUM(J15,L15:Q15)</f>
        <v>65500</v>
      </c>
      <c r="U15" s="79"/>
    </row>
    <row r="16" customFormat="false" ht="21" hidden="false" customHeight="true" outlineLevel="0" collapsed="false">
      <c r="C16" s="74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</row>
    <row r="17" customFormat="false" ht="21" hidden="false" customHeight="true" outlineLevel="0" collapsed="false">
      <c r="C17" s="74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</row>
    <row r="18" customFormat="false" ht="21" hidden="false" customHeight="true" outlineLevel="0" collapsed="false">
      <c r="C18" s="83" t="s">
        <v>966</v>
      </c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</row>
    <row r="19" customFormat="false" ht="21" hidden="false" customHeight="true" outlineLevel="0" collapsed="false">
      <c r="C19" s="83" t="s">
        <v>967</v>
      </c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</row>
    <row r="20" customFormat="false" ht="21" hidden="false" customHeight="true" outlineLevel="0" collapsed="false">
      <c r="C20" s="74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</row>
    <row r="21" customFormat="false" ht="21" hidden="false" customHeight="true" outlineLevel="0" collapsed="false">
      <c r="C21" s="74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</row>
    <row r="22" customFormat="false" ht="21" hidden="false" customHeight="true" outlineLevel="0" collapsed="false">
      <c r="C22" s="74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</row>
    <row r="23" customFormat="false" ht="24" hidden="false" customHeight="true" outlineLevel="0" collapsed="false">
      <c r="C23" s="138" t="s">
        <v>968</v>
      </c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4"/>
      <c r="W23" s="74"/>
      <c r="X23" s="74"/>
      <c r="Y23" s="74"/>
    </row>
    <row r="24" customFormat="false" ht="24" hidden="false" customHeight="true" outlineLevel="0" collapsed="false">
      <c r="C24" s="74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4"/>
      <c r="W24" s="74"/>
      <c r="X24" s="74"/>
      <c r="Y24" s="74"/>
    </row>
    <row r="25" customFormat="false" ht="37.5" hidden="false" customHeight="true" outlineLevel="0" collapsed="false">
      <c r="C25" s="78" t="s">
        <v>969</v>
      </c>
      <c r="D25" s="85" t="s">
        <v>970</v>
      </c>
      <c r="E25" s="85" t="s">
        <v>971</v>
      </c>
      <c r="F25" s="85" t="s">
        <v>972</v>
      </c>
      <c r="G25" s="85" t="s">
        <v>973</v>
      </c>
      <c r="H25" s="85" t="s">
        <v>974</v>
      </c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4"/>
      <c r="W25" s="74"/>
      <c r="X25" s="74"/>
      <c r="Y25" s="74"/>
    </row>
    <row r="26" customFormat="false" ht="31.5" hidden="false" customHeight="true" outlineLevel="0" collapsed="false">
      <c r="C26" s="111" t="s">
        <v>975</v>
      </c>
      <c r="D26" s="109" t="n">
        <f aca="false">SUM(F41:F48)</f>
        <v>108500</v>
      </c>
      <c r="E26" s="109" t="n">
        <f aca="false">SUM(H41:H48)</f>
        <v>54500</v>
      </c>
      <c r="F26" s="109" t="n">
        <f aca="false">SUM(D26:E26)</f>
        <v>163000</v>
      </c>
      <c r="G26" s="81" t="n">
        <f aca="false">D26*12+E26*SUM('W Sites'!$F$65:$F$76)</f>
        <v>1520000</v>
      </c>
      <c r="H26" s="74" t="s">
        <v>976</v>
      </c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</row>
    <row r="27" customFormat="false" ht="31.5" hidden="false" customHeight="true" outlineLevel="0" collapsed="false">
      <c r="C27" s="111" t="s">
        <v>977</v>
      </c>
      <c r="D27" s="80" t="n">
        <v>12000</v>
      </c>
      <c r="E27" s="80" t="n">
        <v>6000</v>
      </c>
      <c r="F27" s="109" t="n">
        <f aca="false">SUM(D27:E27)</f>
        <v>18000</v>
      </c>
      <c r="G27" s="81" t="n">
        <f aca="false">D27*12+E27*SUM('W Sites'!$F$65:$F$76)</f>
        <v>168000</v>
      </c>
      <c r="H27" s="74" t="s">
        <v>978</v>
      </c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</row>
    <row r="28" customFormat="false" ht="31.5" hidden="false" customHeight="true" outlineLevel="0" collapsed="false">
      <c r="C28" s="111" t="s">
        <v>979</v>
      </c>
      <c r="D28" s="80" t="n">
        <v>18000</v>
      </c>
      <c r="E28" s="80" t="n">
        <v>4000</v>
      </c>
      <c r="F28" s="109" t="n">
        <f aca="false">SUM(D28:E28)</f>
        <v>22000</v>
      </c>
      <c r="G28" s="81" t="n">
        <f aca="false">D28*12+E28*SUM('W Sites'!$F$65:$F$76)</f>
        <v>232000</v>
      </c>
      <c r="H28" s="74" t="s">
        <v>980</v>
      </c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</row>
    <row r="29" customFormat="false" ht="31.5" hidden="false" customHeight="true" outlineLevel="0" collapsed="false">
      <c r="C29" s="111" t="s">
        <v>954</v>
      </c>
      <c r="D29" s="80" t="n">
        <v>6000</v>
      </c>
      <c r="E29" s="80" t="n">
        <v>3000</v>
      </c>
      <c r="F29" s="109" t="n">
        <f aca="false">SUM(D29:E29)</f>
        <v>9000</v>
      </c>
      <c r="G29" s="81" t="n">
        <f aca="false">D29*12+E29*SUM('W Sites'!$F$65:$F$76)</f>
        <v>84000</v>
      </c>
      <c r="H29" s="74" t="s">
        <v>981</v>
      </c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</row>
    <row r="30" customFormat="false" ht="31.5" hidden="false" customHeight="true" outlineLevel="0" collapsed="false">
      <c r="C30" s="111" t="s">
        <v>982</v>
      </c>
      <c r="D30" s="80" t="n">
        <v>10000</v>
      </c>
      <c r="E30" s="80" t="n">
        <v>10000</v>
      </c>
      <c r="F30" s="109" t="n">
        <f aca="false">SUM(D30:E30)</f>
        <v>20000</v>
      </c>
      <c r="G30" s="81" t="n">
        <f aca="false">D30*12+E30*SUM('W Sites'!$F$65:$F$76)</f>
        <v>160000</v>
      </c>
      <c r="H30" s="74" t="s">
        <v>983</v>
      </c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</row>
    <row r="31" customFormat="false" ht="31.5" hidden="false" customHeight="true" outlineLevel="0" collapsed="false">
      <c r="C31" s="111" t="s">
        <v>953</v>
      </c>
      <c r="D31" s="80" t="n">
        <v>6000</v>
      </c>
      <c r="E31" s="80" t="n">
        <v>5000</v>
      </c>
      <c r="F31" s="109" t="n">
        <f aca="false">SUM(D31:E31)</f>
        <v>11000</v>
      </c>
      <c r="G31" s="81" t="n">
        <f aca="false">D31*12+E31*SUM('W Sites'!$F$65:$F$76)</f>
        <v>92000</v>
      </c>
      <c r="H31" s="74" t="s">
        <v>984</v>
      </c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</row>
    <row r="32" customFormat="false" ht="31.5" hidden="false" customHeight="true" outlineLevel="0" collapsed="false">
      <c r="C32" s="111" t="s">
        <v>985</v>
      </c>
      <c r="D32" s="80" t="n">
        <v>4000</v>
      </c>
      <c r="E32" s="80" t="n">
        <v>0</v>
      </c>
      <c r="F32" s="109" t="n">
        <f aca="false">SUM(D32:E32)</f>
        <v>4000</v>
      </c>
      <c r="G32" s="81" t="n">
        <f aca="false">D32*12+E32*SUM('W Sites'!$F$65:$F$76)</f>
        <v>48000</v>
      </c>
      <c r="H32" s="74" t="s">
        <v>986</v>
      </c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</row>
    <row r="33" customFormat="false" ht="31.5" hidden="false" customHeight="true" outlineLevel="0" collapsed="false">
      <c r="C33" s="111" t="s">
        <v>987</v>
      </c>
      <c r="D33" s="80" t="n">
        <v>18000</v>
      </c>
      <c r="E33" s="80" t="n">
        <v>7000</v>
      </c>
      <c r="F33" s="109" t="n">
        <f aca="false">SUM(D33:E33)</f>
        <v>25000</v>
      </c>
      <c r="G33" s="81" t="n">
        <f aca="false">D33*12+E33*SUM('W Sites'!$F$65:$F$76)</f>
        <v>244000</v>
      </c>
      <c r="H33" s="74" t="s">
        <v>988</v>
      </c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</row>
    <row r="34" customFormat="false" ht="31.5" hidden="false" customHeight="true" outlineLevel="0" collapsed="false">
      <c r="C34" s="111" t="s">
        <v>989</v>
      </c>
      <c r="D34" s="80" t="n">
        <v>8000</v>
      </c>
      <c r="E34" s="80" t="n">
        <v>1000</v>
      </c>
      <c r="F34" s="109" t="n">
        <f aca="false">SUM(D34:E34)</f>
        <v>9000</v>
      </c>
      <c r="G34" s="81" t="n">
        <f aca="false">D34*12+E34*SUM('W Sites'!$F$65:$F$76)</f>
        <v>100000</v>
      </c>
      <c r="H34" s="74" t="s">
        <v>990</v>
      </c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</row>
    <row r="35" customFormat="false" ht="31.5" hidden="false" customHeight="true" outlineLevel="0" collapsed="false">
      <c r="C35" s="111" t="s">
        <v>991</v>
      </c>
      <c r="D35" s="80" t="n">
        <v>10000</v>
      </c>
      <c r="E35" s="80" t="n">
        <v>4000</v>
      </c>
      <c r="F35" s="109" t="n">
        <f aca="false">SUM(D35:E35)</f>
        <v>14000</v>
      </c>
      <c r="G35" s="81" t="n">
        <f aca="false">D35*12+E35*SUM('W Sites'!$F$65:$F$76)</f>
        <v>136000</v>
      </c>
      <c r="H35" s="74" t="s">
        <v>992</v>
      </c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</row>
    <row r="36" customFormat="false" ht="31.5" hidden="false" customHeight="true" outlineLevel="0" collapsed="false">
      <c r="C36" s="127" t="s">
        <v>993</v>
      </c>
      <c r="D36" s="94" t="n">
        <f aca="false">SUM(D26:D35)</f>
        <v>200500</v>
      </c>
      <c r="E36" s="94" t="n">
        <f aca="false">SUM(E26:E35)</f>
        <v>94500</v>
      </c>
      <c r="F36" s="94" t="n">
        <f aca="false">SUM(F26:F35)</f>
        <v>295000</v>
      </c>
      <c r="G36" s="94" t="n">
        <f aca="false">SUM(G26:G35)</f>
        <v>2784000</v>
      </c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</row>
    <row r="37" customFormat="false" ht="31.5" hidden="false" customHeight="true" outlineLevel="0" collapsed="false">
      <c r="C37" s="111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</row>
    <row r="38" customFormat="false" ht="31.5" hidden="false" customHeight="true" outlineLevel="0" collapsed="false">
      <c r="C38" s="111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</row>
    <row r="39" customFormat="false" ht="31.5" hidden="false" customHeight="true" outlineLevel="0" collapsed="false">
      <c r="C39" s="111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</row>
    <row r="40" customFormat="false" ht="31.5" hidden="false" customHeight="true" outlineLevel="0" collapsed="false">
      <c r="C40" s="78" t="s">
        <v>994</v>
      </c>
      <c r="D40" s="78" t="s">
        <v>995</v>
      </c>
      <c r="E40" s="78" t="s">
        <v>996</v>
      </c>
      <c r="F40" s="78" t="s">
        <v>997</v>
      </c>
      <c r="G40" s="78" t="s">
        <v>998</v>
      </c>
      <c r="H40" s="78" t="s">
        <v>999</v>
      </c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</row>
    <row r="41" customFormat="false" ht="31.5" hidden="false" customHeight="true" outlineLevel="0" collapsed="false">
      <c r="C41" s="111" t="s">
        <v>1000</v>
      </c>
      <c r="D41" s="80" t="n">
        <v>1</v>
      </c>
      <c r="E41" s="80" t="n">
        <v>16000</v>
      </c>
      <c r="F41" s="109" t="n">
        <f aca="false">D41*E41</f>
        <v>16000</v>
      </c>
      <c r="G41" s="80" t="n">
        <v>0</v>
      </c>
      <c r="H41" s="109" t="n">
        <f aca="false">G41*E41</f>
        <v>0</v>
      </c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</row>
    <row r="42" customFormat="false" ht="31.5" hidden="false" customHeight="true" outlineLevel="0" collapsed="false">
      <c r="C42" s="111" t="s">
        <v>1001</v>
      </c>
      <c r="D42" s="80" t="n">
        <v>1</v>
      </c>
      <c r="E42" s="80" t="n">
        <v>9000</v>
      </c>
      <c r="F42" s="109" t="n">
        <f aca="false">D42*E42</f>
        <v>9000</v>
      </c>
      <c r="G42" s="80" t="n">
        <v>1</v>
      </c>
      <c r="H42" s="109" t="n">
        <f aca="false">G42*E42</f>
        <v>9000</v>
      </c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</row>
    <row r="43" customFormat="false" ht="31.5" hidden="false" customHeight="true" outlineLevel="0" collapsed="false">
      <c r="C43" s="111" t="s">
        <v>1002</v>
      </c>
      <c r="D43" s="80" t="n">
        <v>3</v>
      </c>
      <c r="E43" s="80" t="n">
        <v>6000</v>
      </c>
      <c r="F43" s="109" t="n">
        <f aca="false">D43*E43</f>
        <v>18000</v>
      </c>
      <c r="G43" s="80" t="n">
        <v>1</v>
      </c>
      <c r="H43" s="109" t="n">
        <f aca="false">G43*E43</f>
        <v>6000</v>
      </c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</row>
    <row r="44" customFormat="false" ht="31.5" hidden="false" customHeight="true" outlineLevel="0" collapsed="false">
      <c r="C44" s="111" t="s">
        <v>1003</v>
      </c>
      <c r="D44" s="80" t="n">
        <v>6</v>
      </c>
      <c r="E44" s="80" t="n">
        <v>5000</v>
      </c>
      <c r="F44" s="109" t="n">
        <f aca="false">D44*E44</f>
        <v>30000</v>
      </c>
      <c r="G44" s="80" t="n">
        <v>4</v>
      </c>
      <c r="H44" s="109" t="n">
        <f aca="false">G44*E44</f>
        <v>20000</v>
      </c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</row>
    <row r="45" customFormat="false" ht="31.5" hidden="false" customHeight="true" outlineLevel="0" collapsed="false">
      <c r="C45" s="111" t="s">
        <v>1004</v>
      </c>
      <c r="D45" s="80" t="n">
        <v>3</v>
      </c>
      <c r="E45" s="80" t="n">
        <v>4500</v>
      </c>
      <c r="F45" s="109" t="n">
        <f aca="false">D45*E45</f>
        <v>13500</v>
      </c>
      <c r="G45" s="80" t="n">
        <v>1</v>
      </c>
      <c r="H45" s="109" t="n">
        <f aca="false">G45*E45</f>
        <v>4500</v>
      </c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</row>
    <row r="46" customFormat="false" ht="31.5" hidden="false" customHeight="true" outlineLevel="0" collapsed="false">
      <c r="C46" s="111" t="s">
        <v>1005</v>
      </c>
      <c r="D46" s="80" t="n">
        <v>1</v>
      </c>
      <c r="E46" s="80" t="n">
        <v>5000</v>
      </c>
      <c r="F46" s="109" t="n">
        <f aca="false">D46*E46</f>
        <v>5000</v>
      </c>
      <c r="G46" s="80" t="n">
        <v>1</v>
      </c>
      <c r="H46" s="109" t="n">
        <f aca="false">G46*E46</f>
        <v>5000</v>
      </c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</row>
    <row r="47" customFormat="false" ht="31.5" hidden="false" customHeight="true" outlineLevel="0" collapsed="false">
      <c r="C47" s="111" t="s">
        <v>1006</v>
      </c>
      <c r="D47" s="80" t="n">
        <v>2</v>
      </c>
      <c r="E47" s="80" t="n">
        <v>5000</v>
      </c>
      <c r="F47" s="109" t="n">
        <f aca="false">D47*E47</f>
        <v>10000</v>
      </c>
      <c r="G47" s="80" t="n">
        <v>2</v>
      </c>
      <c r="H47" s="109" t="n">
        <f aca="false">G47*E47</f>
        <v>10000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</row>
    <row r="48" customFormat="false" ht="31.5" hidden="false" customHeight="true" outlineLevel="0" collapsed="false">
      <c r="C48" s="111" t="s">
        <v>1007</v>
      </c>
      <c r="D48" s="80" t="n">
        <v>1</v>
      </c>
      <c r="E48" s="80" t="n">
        <v>7000</v>
      </c>
      <c r="F48" s="109" t="n">
        <f aca="false">D48*E48</f>
        <v>7000</v>
      </c>
      <c r="G48" s="80" t="n">
        <v>0</v>
      </c>
      <c r="H48" s="109" t="n">
        <f aca="false">G48*E48</f>
        <v>0</v>
      </c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</row>
    <row r="49" customFormat="false" ht="31.5" hidden="false" customHeight="true" outlineLevel="0" collapsed="false">
      <c r="C49" s="127" t="s">
        <v>1008</v>
      </c>
      <c r="D49" s="143" t="n">
        <f aca="false">SUM(D41:D48)</f>
        <v>18</v>
      </c>
      <c r="E49" s="86"/>
      <c r="F49" s="94" t="n">
        <f aca="false">SUM(F41:F48)</f>
        <v>108500</v>
      </c>
      <c r="G49" s="94" t="n">
        <f aca="false">SUM(G41:G48)</f>
        <v>10</v>
      </c>
      <c r="H49" s="94" t="n">
        <f aca="false">SUM(H41:H48)</f>
        <v>54500</v>
      </c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</row>
    <row r="50" customFormat="false" ht="24" hidden="false" customHeight="true" outlineLevel="0" collapsed="false"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</row>
    <row r="51" customFormat="false" ht="24" hidden="false" customHeight="true" outlineLevel="0" collapsed="false"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</row>
    <row r="52" customFormat="false" ht="24" hidden="false" customHeight="true" outlineLevel="0" collapsed="false">
      <c r="C52" s="83" t="s">
        <v>1009</v>
      </c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</row>
    <row r="53" customFormat="false" ht="24" hidden="false" customHeight="true" outlineLevel="0" collapsed="false">
      <c r="C53" s="96" t="s">
        <v>1010</v>
      </c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</row>
    <row r="54" customFormat="false" ht="24" hidden="false" customHeight="true" outlineLevel="0" collapsed="false">
      <c r="C54" s="83" t="s">
        <v>1011</v>
      </c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</row>
    <row r="55" customFormat="false" ht="24" hidden="false" customHeight="true" outlineLevel="0" collapsed="false"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8C1C6"/>
    <pageSetUpPr fitToPage="false"/>
  </sheetPr>
  <dimension ref="C1:AB3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5" topLeftCell="F6" activePane="bottomRight" state="frozen"/>
      <selection pane="topLeft" activeCell="A1" activeCellId="0" sqref="A1"/>
      <selection pane="topRight" activeCell="F1" activeCellId="0" sqref="F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2.5"/>
    <col collapsed="false" customWidth="true" hidden="false" outlineLevel="0" max="25" min="3" style="0" width="14"/>
    <col collapsed="false" customWidth="true" hidden="false" outlineLevel="0" max="27" min="26" style="0" width="18"/>
    <col collapsed="false" customWidth="true" hidden="false" outlineLevel="0" max="28" min="28" style="0" width="20"/>
  </cols>
  <sheetData>
    <row r="1" customFormat="false" ht="21" hidden="false" customHeight="true" outlineLevel="0" collapsed="false"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</row>
    <row r="2" customFormat="false" ht="30" hidden="false" customHeight="true" outlineLevel="0" collapsed="false">
      <c r="C2" s="75" t="s">
        <v>1012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</row>
    <row r="3" customFormat="false" ht="21" hidden="false" customHeight="true" outlineLevel="0" collapsed="false"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</row>
    <row r="4" customFormat="false" ht="21" hidden="false" customHeight="true" outlineLevel="0" collapsed="false">
      <c r="C4" s="74" t="s">
        <v>580</v>
      </c>
      <c r="D4" s="77" t="str">
        <f aca="false">'W Assumptions'!D3</f>
        <v>Base</v>
      </c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</row>
    <row r="5" customFormat="false" ht="33.75" hidden="false" customHeight="true" outlineLevel="0" collapsed="false">
      <c r="C5" s="78" t="s">
        <v>919</v>
      </c>
      <c r="D5" s="78" t="s">
        <v>832</v>
      </c>
      <c r="E5" s="78" t="s">
        <v>1013</v>
      </c>
      <c r="F5" s="78" t="s">
        <v>1014</v>
      </c>
      <c r="G5" s="78" t="s">
        <v>1015</v>
      </c>
      <c r="H5" s="78" t="s">
        <v>1016</v>
      </c>
      <c r="I5" s="78" t="s">
        <v>1017</v>
      </c>
      <c r="J5" s="78" t="s">
        <v>1018</v>
      </c>
      <c r="K5" s="78" t="s">
        <v>1019</v>
      </c>
      <c r="L5" s="78" t="s">
        <v>833</v>
      </c>
      <c r="M5" s="78" t="s">
        <v>1020</v>
      </c>
      <c r="N5" s="78" t="s">
        <v>1021</v>
      </c>
      <c r="O5" s="78" t="s">
        <v>952</v>
      </c>
      <c r="P5" s="78" t="s">
        <v>1022</v>
      </c>
      <c r="Q5" s="78" t="s">
        <v>959</v>
      </c>
      <c r="R5" s="78" t="s">
        <v>1023</v>
      </c>
      <c r="S5" s="78" t="s">
        <v>1024</v>
      </c>
      <c r="T5" s="78" t="s">
        <v>1025</v>
      </c>
      <c r="U5" s="78" t="s">
        <v>1026</v>
      </c>
      <c r="V5" s="78" t="s">
        <v>1027</v>
      </c>
      <c r="W5" s="78" t="s">
        <v>1028</v>
      </c>
      <c r="X5" s="78" t="s">
        <v>1029</v>
      </c>
      <c r="Y5" s="78" t="s">
        <v>1030</v>
      </c>
      <c r="Z5" s="78" t="s">
        <v>1031</v>
      </c>
      <c r="AA5" s="78" t="s">
        <v>1032</v>
      </c>
      <c r="AB5" s="78" t="s">
        <v>1033</v>
      </c>
    </row>
    <row r="6" customFormat="false" ht="21" hidden="false" customHeight="true" outlineLevel="0" collapsed="false">
      <c r="C6" s="144" t="n">
        <f aca="false">46266</f>
        <v>46266</v>
      </c>
      <c r="D6" s="81" t="n">
        <f aca="false">1</f>
        <v>1</v>
      </c>
      <c r="E6" s="81" t="str">
        <f aca="false">'W Sites'!C6</f>
        <v>S01</v>
      </c>
      <c r="F6" s="145" t="n">
        <f aca="false">'W Sites'!$G$6*MAX(0,EOMONTH(C6,0)-MAX(C6,'W Sites'!$F$6)+1)/DAY(EOMONTH(C6,0))</f>
        <v>0.533333333333333</v>
      </c>
      <c r="G6" s="145" t="n">
        <f aca="false">'W Sites'!$G$6*MAX(0,EOMONTH(C6,0)-MAX(C6,'W Sites'!$F$6,'W Assumptions'!$D$58)+1)/DAY(EOMONTH(C6,0))</f>
        <v>0</v>
      </c>
      <c r="H6" s="81" t="n">
        <f aca="false">'W Sites'!$D$45*INDEX('W Sites'!$E$65:$E$76,MONTH(C6),1)/SUM('W Sites'!$E$65:$E$76)*F6*(1+'W Sites'!$D$56)^(D6-1)*INDEX('W Assumptions'!$D$7:$F$7,1,D6)</f>
        <v>1562.66666666667</v>
      </c>
      <c r="I6" s="81" t="n">
        <f aca="false">H6*'W Sites'!$D$46/(1+'W Sites'!$D$54*'W Assumptions'!$D$39)*INDEX('W Assumptions'!$D$12:$F$12,1,D6)</f>
        <v>85946.6666666667</v>
      </c>
      <c r="J6" s="81" t="n">
        <f aca="false">H6*SUM('W Sites'!$D$47:$D$49)/(1+'W Sites'!$D$54*'W Assumptions'!$D$39)*INDEX('W Assumptions'!$D$12:$F$12,1,D6)</f>
        <v>46880</v>
      </c>
      <c r="K6" s="81" t="n">
        <f aca="false">SUM('W Sites'!$D$50:$D$52)/12*F6*(1+'W Sites'!$D$56)^(D6-1)*INDEX('W Assumptions'!$D$7:$F$7,1,D6)*INDEX('W Assumptions'!$D$12:$F$12,1,D6)/(1+'W Sites'!$D$54*'W Assumptions'!$D$39)</f>
        <v>17777.7777777778</v>
      </c>
      <c r="L6" s="81" t="n">
        <f aca="false">SUM(I6:K6)</f>
        <v>150604.444444444</v>
      </c>
      <c r="M6" s="81" t="n">
        <f aca="false">('W Site Costs'!$I$6+INDEX('W Sites'!$F$65:$F$76,MONTH(C6),1)*'W Site Costs'!$V$6)*F6*(1+'W Sites'!$D$58)^(D6-1)*INDEX('W Assumptions'!$D$22:$F$22,1,D6)</f>
        <v>57866.6666666667</v>
      </c>
      <c r="N6" s="81" t="n">
        <f aca="false">'W Site Costs'!$J$6*F6*INDEX('W Assumptions'!$D$35:$F$35,1,D6)*INDEX('W Assumptions'!$D$22:$F$22,1,D6)</f>
        <v>8000</v>
      </c>
      <c r="O6" s="81" t="n">
        <f aca="false">L6*'W Site Costs'!$K$6</f>
        <v>0</v>
      </c>
      <c r="P6" s="81" t="n">
        <f aca="false">(SUM('W Site Costs'!$L$6:$Q$6)+INDEX('W Sites'!$F$65:$F$76,MONTH(C6),1)*'W Site Costs'!$W$6)*F6*(1+'W Sites'!$D$58)^(D6-1)*INDEX('W Assumptions'!$D$22:$F$22,1,D6)</f>
        <v>39466.6666666667</v>
      </c>
      <c r="Q6" s="81" t="n">
        <f aca="false">('W Site Costs'!$X$6+INDEX('W Sites'!$F$65:$F$76,MONTH(C6),1)*'W Site Costs'!$Y$6)*F6*(1+'W Sites'!$D$58)^(D6-1)*INDEX('W Assumptions'!$D$17:$F$17,1,D6)</f>
        <v>9600</v>
      </c>
      <c r="R6" s="112" t="n">
        <f aca="false">L6*'W Sites'!$M$6</f>
        <v>0</v>
      </c>
      <c r="S6" s="81" t="n">
        <f aca="false">SUM(M6:R6)</f>
        <v>114933.333333333</v>
      </c>
      <c r="T6" s="81" t="n">
        <f aca="false">L6-S6</f>
        <v>35671.1111111111</v>
      </c>
      <c r="U6" s="81" t="n">
        <f aca="false">IF(C6='W Budget &amp; Owners'!$I$6,'W Budget &amp; Owners'!$F$6*'W Sites'!$G$6,0)</f>
        <v>30000</v>
      </c>
      <c r="V6" s="81" t="n">
        <f aca="false">'W Sites'!$G$6*'W Budget &amp; Owners'!$E$6*INDEX('W Assumptions'!$D$27:$F$27,1,D6)*(IF(C6='W Budget &amp; Owners'!$I$6,'W Assumptions'!$D$65,0)+IF(C6=DATE(YEAR('W Sites'!$F$6),MONTH('W Sites'!$F$6),1),1-'W Assumptions'!$D$65,0))+'W Sites'!$G$6*'W Budget &amp; Owners'!$E$6*IF(C6=DATE(2027,9,1),'W Assumptions'!$D$67,IF(C6=DATE(2028,9,1),'W Assumptions'!$D$69,0))</f>
        <v>350000</v>
      </c>
      <c r="W6" s="81" t="n">
        <f aca="false">IF(((YEAR(C6)-YEAR('W Sites'!$F$6))*12+MONTH(C6)-MONTH('W Sites'!$F$6))&lt;'W Budget &amp; Owners'!$H$6,'W Budget &amp; Owners'!$E$6/'W Budget &amp; Owners'!$H$6*F6,0)+IF(C6&gt;=DATE(2027,9,1),'W Budget &amp; Owners'!$E$6*'W Assumptions'!$D$67/'W Budget &amp; Owners'!$H$6*F6,0)+IF(C6&gt;=DATE(2028,9,1),'W Budget &amp; Owners'!$E$6*'W Assumptions'!$D$69/'W Budget &amp; Owners'!$H$6*F6,0)</f>
        <v>3111.11111111111</v>
      </c>
      <c r="X6" s="81" t="n">
        <f aca="false">IF(C6='W Budget &amp; Owners'!$I$6,'W Budget &amp; Owners'!$G$6*'W Sites'!$G$6,0)</f>
        <v>30000</v>
      </c>
      <c r="Y6" s="112" t="n">
        <f aca="false">IF(SUM($G$6:$G$15)=0,0,'W Fees &amp; KPI'!$Q$6*G6/SUM($G$6:$G$15))</f>
        <v>0</v>
      </c>
      <c r="Z6" s="119" t="n">
        <f aca="false">IF(SUM($G$6:$G$15)=0,0,SUM('W Fees &amp; KPI'!$J$6,'W Fees &amp; KPI'!$M$6)*G6/SUM($G$6:$G$15))</f>
        <v>0</v>
      </c>
      <c r="AA6" s="117" t="n">
        <f aca="false">T6-U6-Z6-Y6</f>
        <v>5671.11111111114</v>
      </c>
      <c r="AB6" s="119" t="n">
        <f aca="false">IF('W Fees &amp; KPI'!$D$6=0,0,T6-U6-Z6)</f>
        <v>0</v>
      </c>
    </row>
    <row r="7" customFormat="false" ht="21" hidden="false" customHeight="true" outlineLevel="0" collapsed="false">
      <c r="C7" s="144" t="n">
        <f aca="false">46266</f>
        <v>46266</v>
      </c>
      <c r="D7" s="81" t="n">
        <f aca="false">1</f>
        <v>1</v>
      </c>
      <c r="E7" s="81" t="str">
        <f aca="false">'W Sites'!C7</f>
        <v>S02</v>
      </c>
      <c r="F7" s="145" t="n">
        <f aca="false">'W Sites'!$G$7*MAX(0,EOMONTH(C7,0)-MAX(C7,'W Sites'!$F$7)+1)/DAY(EOMONTH(C7,0))</f>
        <v>0</v>
      </c>
      <c r="G7" s="145" t="n">
        <f aca="false">'W Sites'!$G$7*MAX(0,EOMONTH(C7,0)-MAX(C7,'W Sites'!$F$7,'W Assumptions'!$D$58)+1)/DAY(EOMONTH(C7,0))</f>
        <v>0</v>
      </c>
      <c r="H7" s="81" t="n">
        <f aca="false">'W Sites'!$H$7*F7*'W Sites'!$I$7*IF(((YEAR(C7)-YEAR('W Sites'!$F$7))*12+MONTH(C7)-MONTH('W Sites'!$F$7))=0,'W Assumptions'!$D$62,IF(((YEAR(C7)-YEAR('W Sites'!$F$7))*12+MONTH(C7)-MONTH('W Sites'!$F$7))=1,'W Assumptions'!$D$63,1))*INDEX('W Assumptions'!$D$7:$F$7,1,D7)*INDEX('W Assumptions'!$D$32:$F$32,1,D7)*INDEX('W Assumptions'!$D$80:$D$91,MONTH(C7),1)/AVERAGE('W Assumptions'!$D$80:$D$91)</f>
        <v>0</v>
      </c>
      <c r="I7" s="81" t="n">
        <f aca="false">H7*'W Sites'!$J$7/(1+'W Assumptions'!$D$39)*INDEX('W Assumptions'!$D$12:$F$12,1,D7)*INDEX('W Assumptions'!$D$33:$F$33,1,D7)</f>
        <v>0</v>
      </c>
      <c r="J7" s="81" t="n">
        <f aca="false">H7*'W Sites'!$K$7/(1+'W Assumptions'!$D$39)*INDEX('W Assumptions'!$D$12:$F$12,1,D7)*INDEX('W Assumptions'!$D$33:$F$33,1,D7)</f>
        <v>0</v>
      </c>
      <c r="K7" s="81" t="n">
        <f aca="false">'W Sites'!$L$7*F7*IF(((YEAR(C7)-YEAR('W Sites'!$F$7))*12+MONTH(C7)-MONTH('W Sites'!$F$7))=0,'W Assumptions'!$D$62,IF(((YEAR(C7)-YEAR('W Sites'!$F$7))*12+MONTH(C7)-MONTH('W Sites'!$F$7))=1,'W Assumptions'!$D$63,1))*INDEX('W Assumptions'!$D$7:$F$7,1,D7)*INDEX('W Assumptions'!$D$32:$F$32,1,D7)</f>
        <v>0</v>
      </c>
      <c r="L7" s="81" t="n">
        <f aca="false">SUM(I7:K7)</f>
        <v>0</v>
      </c>
      <c r="M7" s="81" t="n">
        <f aca="false">'W Site Costs'!$I$7*F7*INDEX('W Assumptions'!$D$34:$F$34,1,D7)*INDEX('W Assumptions'!$D$22:$F$22,1,D7)</f>
        <v>0</v>
      </c>
      <c r="N7" s="81" t="n">
        <f aca="false">'W Site Costs'!$J$7*F7*INDEX('W Assumptions'!$D$35:$F$35,1,D7)*INDEX('W Assumptions'!$D$22:$F$22,1,D7)</f>
        <v>0</v>
      </c>
      <c r="O7" s="81" t="n">
        <f aca="false">L7*'W Site Costs'!$K$7</f>
        <v>0</v>
      </c>
      <c r="P7" s="81" t="n">
        <f aca="false">SUM('W Site Costs'!$L$7:$Q$7)*F7*INDEX('W Assumptions'!$D$35:$F$35,1,D7)*INDEX('W Assumptions'!$D$22:$F$22,1,D7)</f>
        <v>0</v>
      </c>
      <c r="Q7" s="81" t="n">
        <f aca="false">L7*'W Site Costs'!$R$7*INDEX('W Assumptions'!$D$17:$F$17,1,D7)</f>
        <v>0</v>
      </c>
      <c r="R7" s="112" t="n">
        <f aca="false">L7*'W Sites'!$M$7</f>
        <v>0</v>
      </c>
      <c r="S7" s="81" t="n">
        <f aca="false">SUM(M7:R7)</f>
        <v>0</v>
      </c>
      <c r="T7" s="81" t="n">
        <f aca="false">L7-S7</f>
        <v>0</v>
      </c>
      <c r="U7" s="81" t="n">
        <f aca="false">IF(C7='W Budget &amp; Owners'!$I$7,'W Budget &amp; Owners'!$F$7*'W Sites'!$G$7,0)</f>
        <v>10000</v>
      </c>
      <c r="V7" s="81" t="n">
        <f aca="false">'W Sites'!$G$7*'W Budget &amp; Owners'!$E$7*INDEX('W Assumptions'!$D$27:$F$27,1,D7)*(IF(C7='W Budget &amp; Owners'!$I$7,'W Assumptions'!$D$65,0)+IF(C7=DATE(YEAR('W Sites'!$F$7),MONTH('W Sites'!$F$7),1),1-'W Assumptions'!$D$65,0))+'W Sites'!$G$7*'W Budget &amp; Owners'!$E$7*IF(C7=DATE(2027,9,1),'W Assumptions'!$D$67,IF(C7=DATE(2028,9,1),'W Assumptions'!$D$69,0))</f>
        <v>48000</v>
      </c>
      <c r="W7" s="81" t="n">
        <f aca="false">IF(((YEAR(C7)-YEAR('W Sites'!$F$7))*12+MONTH(C7)-MONTH('W Sites'!$F$7))&lt;'W Budget &amp; Owners'!$H$7,'W Budget &amp; Owners'!$E$7/'W Budget &amp; Owners'!$H$7*F7,0)+IF(C7&gt;=DATE(2027,9,1),'W Budget &amp; Owners'!$E$7*'W Assumptions'!$D$67/'W Budget &amp; Owners'!$H$7*F7,0)+IF(C7&gt;=DATE(2028,9,1),'W Budget &amp; Owners'!$E$7*'W Assumptions'!$D$69/'W Budget &amp; Owners'!$H$7*F7,0)</f>
        <v>0</v>
      </c>
      <c r="X7" s="81" t="n">
        <f aca="false">IF(C7='W Budget &amp; Owners'!$I$7,'W Budget &amp; Owners'!$G$7*'W Sites'!$G$7,0)</f>
        <v>0</v>
      </c>
      <c r="Y7" s="112" t="n">
        <f aca="false">IF(SUM($G$6:$G$15)=0,0,'W Fees &amp; KPI'!$Q$6*G7/SUM($G$6:$G$15))</f>
        <v>0</v>
      </c>
      <c r="Z7" s="119" t="n">
        <f aca="false">IF(SUM($G$6:$G$15)=0,0,SUM('W Fees &amp; KPI'!$J$6,'W Fees &amp; KPI'!$M$6)*G7/SUM($G$6:$G$15))</f>
        <v>0</v>
      </c>
      <c r="AA7" s="117" t="n">
        <f aca="false">T7-U7-Z7-Y7</f>
        <v>-10000</v>
      </c>
      <c r="AB7" s="119" t="n">
        <f aca="false">IF('W Fees &amp; KPI'!$D$6=0,0,T7-U7-Z7)</f>
        <v>0</v>
      </c>
    </row>
    <row r="8" customFormat="false" ht="21" hidden="false" customHeight="true" outlineLevel="0" collapsed="false">
      <c r="C8" s="144" t="n">
        <f aca="false">46266</f>
        <v>46266</v>
      </c>
      <c r="D8" s="81" t="n">
        <f aca="false">1</f>
        <v>1</v>
      </c>
      <c r="E8" s="81" t="str">
        <f aca="false">'W Sites'!C8</f>
        <v>S03</v>
      </c>
      <c r="F8" s="145" t="n">
        <f aca="false">'W Sites'!$G$8*MAX(0,EOMONTH(C8,0)-MAX(C8,'W Sites'!$F$8)+1)/DAY(EOMONTH(C8,0))</f>
        <v>0</v>
      </c>
      <c r="G8" s="145" t="n">
        <f aca="false">'W Sites'!$G$8*MAX(0,EOMONTH(C8,0)-MAX(C8,'W Sites'!$F$8,'W Assumptions'!$D$58)+1)/DAY(EOMONTH(C8,0))</f>
        <v>0</v>
      </c>
      <c r="H8" s="81" t="n">
        <f aca="false">'W Sites'!$H$8*F8*'W Sites'!$I$8*IF(((YEAR(C8)-YEAR('W Sites'!$F$8))*12+MONTH(C8)-MONTH('W Sites'!$F$8))=0,'W Assumptions'!$D$62,IF(((YEAR(C8)-YEAR('W Sites'!$F$8))*12+MONTH(C8)-MONTH('W Sites'!$F$8))=1,'W Assumptions'!$D$63,1))*INDEX('W Assumptions'!$D$7:$F$7,1,D8)*INDEX('W Assumptions'!$D$32:$F$32,1,D8)*INDEX('W Assumptions'!$D$80:$D$91,MONTH(C8),1)/AVERAGE('W Assumptions'!$D$80:$D$91)</f>
        <v>0</v>
      </c>
      <c r="I8" s="81" t="n">
        <f aca="false">H8*'W Sites'!$J$8/(1+'W Assumptions'!$D$39)*INDEX('W Assumptions'!$D$12:$F$12,1,D8)*INDEX('W Assumptions'!$D$33:$F$33,1,D8)</f>
        <v>0</v>
      </c>
      <c r="J8" s="81" t="n">
        <f aca="false">H8*'W Sites'!$K$8/(1+'W Assumptions'!$D$39)*INDEX('W Assumptions'!$D$12:$F$12,1,D8)*INDEX('W Assumptions'!$D$33:$F$33,1,D8)</f>
        <v>0</v>
      </c>
      <c r="K8" s="81" t="n">
        <f aca="false">'W Sites'!$L$8*F8*IF(((YEAR(C8)-YEAR('W Sites'!$F$8))*12+MONTH(C8)-MONTH('W Sites'!$F$8))=0,'W Assumptions'!$D$62,IF(((YEAR(C8)-YEAR('W Sites'!$F$8))*12+MONTH(C8)-MONTH('W Sites'!$F$8))=1,'W Assumptions'!$D$63,1))*INDEX('W Assumptions'!$D$7:$F$7,1,D8)*INDEX('W Assumptions'!$D$32:$F$32,1,D8)</f>
        <v>0</v>
      </c>
      <c r="L8" s="81" t="n">
        <f aca="false">SUM(I8:K8)</f>
        <v>0</v>
      </c>
      <c r="M8" s="81" t="n">
        <f aca="false">'W Site Costs'!$I$8*F8*INDEX('W Assumptions'!$D$34:$F$34,1,D8)*INDEX('W Assumptions'!$D$22:$F$22,1,D8)</f>
        <v>0</v>
      </c>
      <c r="N8" s="81" t="n">
        <f aca="false">'W Site Costs'!$J$8*F8*INDEX('W Assumptions'!$D$35:$F$35,1,D8)*INDEX('W Assumptions'!$D$22:$F$22,1,D8)</f>
        <v>0</v>
      </c>
      <c r="O8" s="81" t="n">
        <f aca="false">L8*'W Site Costs'!$K$8</f>
        <v>0</v>
      </c>
      <c r="P8" s="81" t="n">
        <f aca="false">SUM('W Site Costs'!$L$8:$Q$8)*F8*INDEX('W Assumptions'!$D$35:$F$35,1,D8)*INDEX('W Assumptions'!$D$22:$F$22,1,D8)</f>
        <v>0</v>
      </c>
      <c r="Q8" s="81" t="n">
        <f aca="false">L8*'W Site Costs'!$R$8*INDEX('W Assumptions'!$D$17:$F$17,1,D8)</f>
        <v>0</v>
      </c>
      <c r="R8" s="112" t="n">
        <f aca="false">L8*'W Sites'!$M$8</f>
        <v>0</v>
      </c>
      <c r="S8" s="81" t="n">
        <f aca="false">SUM(M8:R8)</f>
        <v>0</v>
      </c>
      <c r="T8" s="81" t="n">
        <f aca="false">L8-S8</f>
        <v>0</v>
      </c>
      <c r="U8" s="81" t="n">
        <f aca="false">IF(C8='W Budget &amp; Owners'!$I$8,'W Budget &amp; Owners'!$F$8*'W Sites'!$G$8,0)</f>
        <v>0</v>
      </c>
      <c r="V8" s="81" t="n">
        <f aca="false">'W Sites'!$G$8*'W Budget &amp; Owners'!$E$8*INDEX('W Assumptions'!$D$27:$F$27,1,D8)*(IF(C8='W Budget &amp; Owners'!$I$8,'W Assumptions'!$D$65,0)+IF(C8=DATE(YEAR('W Sites'!$F$8),MONTH('W Sites'!$F$8),1),1-'W Assumptions'!$D$65,0))+'W Sites'!$G$8*'W Budget &amp; Owners'!$E$8*IF(C8=DATE(2027,9,1),'W Assumptions'!$D$67,IF(C8=DATE(2028,9,1),'W Assumptions'!$D$69,0))</f>
        <v>0</v>
      </c>
      <c r="W8" s="81" t="n">
        <f aca="false">IF(((YEAR(C8)-YEAR('W Sites'!$F$8))*12+MONTH(C8)-MONTH('W Sites'!$F$8))&lt;'W Budget &amp; Owners'!$H$8,'W Budget &amp; Owners'!$E$8/'W Budget &amp; Owners'!$H$8*F8,0)+IF(C8&gt;=DATE(2027,9,1),'W Budget &amp; Owners'!$E$8*'W Assumptions'!$D$67/'W Budget &amp; Owners'!$H$8*F8,0)+IF(C8&gt;=DATE(2028,9,1),'W Budget &amp; Owners'!$E$8*'W Assumptions'!$D$69/'W Budget &amp; Owners'!$H$8*F8,0)</f>
        <v>0</v>
      </c>
      <c r="X8" s="81" t="n">
        <f aca="false">IF(C8='W Budget &amp; Owners'!$I$8,'W Budget &amp; Owners'!$G$8*'W Sites'!$G$8,0)</f>
        <v>0</v>
      </c>
      <c r="Y8" s="112" t="n">
        <f aca="false">IF(SUM($G$6:$G$15)=0,0,'W Fees &amp; KPI'!$Q$6*G8/SUM($G$6:$G$15))</f>
        <v>0</v>
      </c>
      <c r="Z8" s="119" t="n">
        <f aca="false">IF(SUM($G$6:$G$15)=0,0,SUM('W Fees &amp; KPI'!$J$6,'W Fees &amp; KPI'!$M$6)*G8/SUM($G$6:$G$15))</f>
        <v>0</v>
      </c>
      <c r="AA8" s="117" t="n">
        <f aca="false">T8-U8-Z8-Y8</f>
        <v>0</v>
      </c>
      <c r="AB8" s="119" t="n">
        <f aca="false">IF('W Fees &amp; KPI'!$D$6=0,0,T8-U8-Z8)</f>
        <v>0</v>
      </c>
    </row>
    <row r="9" customFormat="false" ht="21" hidden="false" customHeight="true" outlineLevel="0" collapsed="false">
      <c r="C9" s="144" t="n">
        <f aca="false">46266</f>
        <v>46266</v>
      </c>
      <c r="D9" s="81" t="n">
        <f aca="false">1</f>
        <v>1</v>
      </c>
      <c r="E9" s="81" t="str">
        <f aca="false">'W Sites'!C9</f>
        <v>S04</v>
      </c>
      <c r="F9" s="145" t="n">
        <f aca="false">'W Sites'!$G$9*MAX(0,EOMONTH(C9,0)-MAX(C9,'W Sites'!$F$9)+1)/DAY(EOMONTH(C9,0))</f>
        <v>0</v>
      </c>
      <c r="G9" s="145" t="n">
        <f aca="false">'W Sites'!$G$9*MAX(0,EOMONTH(C9,0)-MAX(C9,'W Sites'!$F$9,'W Assumptions'!$D$58)+1)/DAY(EOMONTH(C9,0))</f>
        <v>0</v>
      </c>
      <c r="H9" s="81" t="n">
        <f aca="false">'W Sites'!$H$9*F9*'W Sites'!$I$9*IF(((YEAR(C9)-YEAR('W Sites'!$F$9))*12+MONTH(C9)-MONTH('W Sites'!$F$9))=0,'W Assumptions'!$D$62,IF(((YEAR(C9)-YEAR('W Sites'!$F$9))*12+MONTH(C9)-MONTH('W Sites'!$F$9))=1,'W Assumptions'!$D$63,1))*INDEX('W Assumptions'!$D$7:$F$7,1,D9)*INDEX('W Assumptions'!$D$32:$F$32,1,D9)*INDEX('W Assumptions'!$D$80:$D$91,MONTH(C9),1)/AVERAGE('W Assumptions'!$D$80:$D$91)</f>
        <v>0</v>
      </c>
      <c r="I9" s="81" t="n">
        <f aca="false">H9*'W Sites'!$J$9/(1+'W Assumptions'!$D$39)*INDEX('W Assumptions'!$D$12:$F$12,1,D9)*INDEX('W Assumptions'!$D$33:$F$33,1,D9)</f>
        <v>0</v>
      </c>
      <c r="J9" s="81" t="n">
        <f aca="false">H9*'W Sites'!$K$9/(1+'W Assumptions'!$D$39)*INDEX('W Assumptions'!$D$12:$F$12,1,D9)*INDEX('W Assumptions'!$D$33:$F$33,1,D9)</f>
        <v>0</v>
      </c>
      <c r="K9" s="81" t="n">
        <f aca="false">'W Sites'!$L$9*F9*IF(((YEAR(C9)-YEAR('W Sites'!$F$9))*12+MONTH(C9)-MONTH('W Sites'!$F$9))=0,'W Assumptions'!$D$62,IF(((YEAR(C9)-YEAR('W Sites'!$F$9))*12+MONTH(C9)-MONTH('W Sites'!$F$9))=1,'W Assumptions'!$D$63,1))*INDEX('W Assumptions'!$D$7:$F$7,1,D9)*INDEX('W Assumptions'!$D$32:$F$32,1,D9)</f>
        <v>0</v>
      </c>
      <c r="L9" s="81" t="n">
        <f aca="false">SUM(I9:K9)</f>
        <v>0</v>
      </c>
      <c r="M9" s="81" t="n">
        <f aca="false">'W Site Costs'!$I$9*F9*INDEX('W Assumptions'!$D$34:$F$34,1,D9)*INDEX('W Assumptions'!$D$22:$F$22,1,D9)</f>
        <v>0</v>
      </c>
      <c r="N9" s="81" t="n">
        <f aca="false">'W Site Costs'!$J$9*F9*INDEX('W Assumptions'!$D$35:$F$35,1,D9)*INDEX('W Assumptions'!$D$22:$F$22,1,D9)</f>
        <v>0</v>
      </c>
      <c r="O9" s="81" t="n">
        <f aca="false">L9*'W Site Costs'!$K$9</f>
        <v>0</v>
      </c>
      <c r="P9" s="81" t="n">
        <f aca="false">SUM('W Site Costs'!$L$9:$Q$9)*F9*INDEX('W Assumptions'!$D$35:$F$35,1,D9)*INDEX('W Assumptions'!$D$22:$F$22,1,D9)</f>
        <v>0</v>
      </c>
      <c r="Q9" s="81" t="n">
        <f aca="false">L9*'W Site Costs'!$R$9*INDEX('W Assumptions'!$D$17:$F$17,1,D9)</f>
        <v>0</v>
      </c>
      <c r="R9" s="112" t="n">
        <f aca="false">L9*'W Sites'!$M$9</f>
        <v>0</v>
      </c>
      <c r="S9" s="81" t="n">
        <f aca="false">SUM(M9:R9)</f>
        <v>0</v>
      </c>
      <c r="T9" s="81" t="n">
        <f aca="false">L9-S9</f>
        <v>0</v>
      </c>
      <c r="U9" s="81" t="n">
        <f aca="false">IF(C9='W Budget &amp; Owners'!$I$9,'W Budget &amp; Owners'!$F$9*'W Sites'!$G$9,0)</f>
        <v>0</v>
      </c>
      <c r="V9" s="81" t="n">
        <f aca="false">'W Sites'!$G$9*'W Budget &amp; Owners'!$E$9*INDEX('W Assumptions'!$D$27:$F$27,1,D9)*(IF(C9='W Budget &amp; Owners'!$I$9,'W Assumptions'!$D$65,0)+IF(C9=DATE(YEAR('W Sites'!$F$9),MONTH('W Sites'!$F$9),1),1-'W Assumptions'!$D$65,0))+'W Sites'!$G$9*'W Budget &amp; Owners'!$E$9*IF(C9=DATE(2027,9,1),'W Assumptions'!$D$67,IF(C9=DATE(2028,9,1),'W Assumptions'!$D$69,0))</f>
        <v>0</v>
      </c>
      <c r="W9" s="81" t="n">
        <f aca="false">IF(((YEAR(C9)-YEAR('W Sites'!$F$9))*12+MONTH(C9)-MONTH('W Sites'!$F$9))&lt;'W Budget &amp; Owners'!$H$9,'W Budget &amp; Owners'!$E$9/'W Budget &amp; Owners'!$H$9*F9,0)+IF(C9&gt;=DATE(2027,9,1),'W Budget &amp; Owners'!$E$9*'W Assumptions'!$D$67/'W Budget &amp; Owners'!$H$9*F9,0)+IF(C9&gt;=DATE(2028,9,1),'W Budget &amp; Owners'!$E$9*'W Assumptions'!$D$69/'W Budget &amp; Owners'!$H$9*F9,0)</f>
        <v>0</v>
      </c>
      <c r="X9" s="81" t="n">
        <f aca="false">IF(C9='W Budget &amp; Owners'!$I$9,'W Budget &amp; Owners'!$G$9*'W Sites'!$G$9,0)</f>
        <v>0</v>
      </c>
      <c r="Y9" s="112" t="n">
        <f aca="false">IF(SUM($G$6:$G$15)=0,0,'W Fees &amp; KPI'!$Q$6*G9/SUM($G$6:$G$15))</f>
        <v>0</v>
      </c>
      <c r="Z9" s="119" t="n">
        <f aca="false">IF(SUM($G$6:$G$15)=0,0,SUM('W Fees &amp; KPI'!$J$6,'W Fees &amp; KPI'!$M$6)*G9/SUM($G$6:$G$15))</f>
        <v>0</v>
      </c>
      <c r="AA9" s="117" t="n">
        <f aca="false">T9-U9-Z9-Y9</f>
        <v>0</v>
      </c>
      <c r="AB9" s="119" t="n">
        <f aca="false">IF('W Fees &amp; KPI'!$D$6=0,0,T9-U9-Z9)</f>
        <v>0</v>
      </c>
    </row>
    <row r="10" customFormat="false" ht="21" hidden="false" customHeight="true" outlineLevel="0" collapsed="false">
      <c r="C10" s="144" t="n">
        <f aca="false">46266</f>
        <v>46266</v>
      </c>
      <c r="D10" s="81" t="n">
        <f aca="false">1</f>
        <v>1</v>
      </c>
      <c r="E10" s="81" t="str">
        <f aca="false">'W Sites'!C10</f>
        <v>S05</v>
      </c>
      <c r="F10" s="145" t="n">
        <f aca="false">'W Sites'!$G$10*MAX(0,EOMONTH(C10,0)-MAX(C10,'W Sites'!$F$10)+1)/DAY(EOMONTH(C10,0))</f>
        <v>0</v>
      </c>
      <c r="G10" s="145" t="n">
        <f aca="false">'W Sites'!$G$10*MAX(0,EOMONTH(C10,0)-MAX(C10,'W Sites'!$F$10,'W Assumptions'!$D$58)+1)/DAY(EOMONTH(C10,0))</f>
        <v>0</v>
      </c>
      <c r="H10" s="81" t="n">
        <f aca="false">'W Sites'!$H$10*F10*'W Sites'!$I$10*IF(((YEAR(C10)-YEAR('W Sites'!$F$10))*12+MONTH(C10)-MONTH('W Sites'!$F$10))=0,'W Assumptions'!$D$62,IF(((YEAR(C10)-YEAR('W Sites'!$F$10))*12+MONTH(C10)-MONTH('W Sites'!$F$10))=1,'W Assumptions'!$D$63,1))*INDEX('W Assumptions'!$D$7:$F$7,1,D10)*INDEX('W Assumptions'!$D$32:$F$32,1,D10)*INDEX('W Assumptions'!$D$80:$D$91,MONTH(C10),1)/AVERAGE('W Assumptions'!$D$80:$D$91)</f>
        <v>0</v>
      </c>
      <c r="I10" s="81" t="n">
        <f aca="false">H10*'W Sites'!$J$10/(1+'W Assumptions'!$D$39)*INDEX('W Assumptions'!$D$12:$F$12,1,D10)*INDEX('W Assumptions'!$D$33:$F$33,1,D10)</f>
        <v>0</v>
      </c>
      <c r="J10" s="81" t="n">
        <f aca="false">H10*'W Sites'!$K$10/(1+'W Assumptions'!$D$39)*INDEX('W Assumptions'!$D$12:$F$12,1,D10)*INDEX('W Assumptions'!$D$33:$F$33,1,D10)</f>
        <v>0</v>
      </c>
      <c r="K10" s="81" t="n">
        <f aca="false">'W Sites'!$L$10*F10*IF(((YEAR(C10)-YEAR('W Sites'!$F$10))*12+MONTH(C10)-MONTH('W Sites'!$F$10))=0,'W Assumptions'!$D$62,IF(((YEAR(C10)-YEAR('W Sites'!$F$10))*12+MONTH(C10)-MONTH('W Sites'!$F$10))=1,'W Assumptions'!$D$63,1))*INDEX('W Assumptions'!$D$7:$F$7,1,D10)*INDEX('W Assumptions'!$D$32:$F$32,1,D10)</f>
        <v>0</v>
      </c>
      <c r="L10" s="81" t="n">
        <f aca="false">SUM(I10:K10)</f>
        <v>0</v>
      </c>
      <c r="M10" s="81" t="n">
        <f aca="false">'W Site Costs'!$I$10*F10*INDEX('W Assumptions'!$D$34:$F$34,1,D10)*INDEX('W Assumptions'!$D$22:$F$22,1,D10)</f>
        <v>0</v>
      </c>
      <c r="N10" s="81" t="n">
        <f aca="false">'W Site Costs'!$J$10*F10*INDEX('W Assumptions'!$D$35:$F$35,1,D10)*INDEX('W Assumptions'!$D$22:$F$22,1,D10)</f>
        <v>0</v>
      </c>
      <c r="O10" s="81" t="n">
        <f aca="false">L10*'W Site Costs'!$K$10</f>
        <v>0</v>
      </c>
      <c r="P10" s="81" t="n">
        <f aca="false">SUM('W Site Costs'!$L$10:$Q$10)*F10*INDEX('W Assumptions'!$D$35:$F$35,1,D10)*INDEX('W Assumptions'!$D$22:$F$22,1,D10)</f>
        <v>0</v>
      </c>
      <c r="Q10" s="81" t="n">
        <f aca="false">L10*'W Site Costs'!$R$10*INDEX('W Assumptions'!$D$17:$F$17,1,D10)</f>
        <v>0</v>
      </c>
      <c r="R10" s="112" t="n">
        <f aca="false">L10*'W Sites'!$M$10</f>
        <v>0</v>
      </c>
      <c r="S10" s="81" t="n">
        <f aca="false">SUM(M10:R10)</f>
        <v>0</v>
      </c>
      <c r="T10" s="81" t="n">
        <f aca="false">L10-S10</f>
        <v>0</v>
      </c>
      <c r="U10" s="81" t="n">
        <f aca="false">IF(C10='W Budget &amp; Owners'!$I$10,'W Budget &amp; Owners'!$F$10*'W Sites'!$G$10,0)</f>
        <v>0</v>
      </c>
      <c r="V10" s="81" t="n">
        <f aca="false">'W Sites'!$G$10*'W Budget &amp; Owners'!$E$10*INDEX('W Assumptions'!$D$27:$F$27,1,D10)*(IF(C10='W Budget &amp; Owners'!$I$10,'W Assumptions'!$D$65,0)+IF(C10=DATE(YEAR('W Sites'!$F$10),MONTH('W Sites'!$F$10),1),1-'W Assumptions'!$D$65,0))+'W Sites'!$G$10*'W Budget &amp; Owners'!$E$10*IF(C10=DATE(2027,9,1),'W Assumptions'!$D$67,IF(C10=DATE(2028,9,1),'W Assumptions'!$D$69,0))</f>
        <v>0</v>
      </c>
      <c r="W10" s="81" t="n">
        <f aca="false">IF(((YEAR(C10)-YEAR('W Sites'!$F$10))*12+MONTH(C10)-MONTH('W Sites'!$F$10))&lt;'W Budget &amp; Owners'!$H$10,'W Budget &amp; Owners'!$E$10/'W Budget &amp; Owners'!$H$10*F10,0)+IF(C10&gt;=DATE(2027,9,1),'W Budget &amp; Owners'!$E$10*'W Assumptions'!$D$67/'W Budget &amp; Owners'!$H$10*F10,0)+IF(C10&gt;=DATE(2028,9,1),'W Budget &amp; Owners'!$E$10*'W Assumptions'!$D$69/'W Budget &amp; Owners'!$H$10*F10,0)</f>
        <v>0</v>
      </c>
      <c r="X10" s="81" t="n">
        <f aca="false">IF(C10='W Budget &amp; Owners'!$I$10,'W Budget &amp; Owners'!$G$10*'W Sites'!$G$10,0)</f>
        <v>0</v>
      </c>
      <c r="Y10" s="112" t="n">
        <f aca="false">IF(SUM($G$6:$G$15)=0,0,'W Fees &amp; KPI'!$Q$6*G10/SUM($G$6:$G$15))</f>
        <v>0</v>
      </c>
      <c r="Z10" s="119" t="n">
        <f aca="false">IF(SUM($G$6:$G$15)=0,0,SUM('W Fees &amp; KPI'!$J$6,'W Fees &amp; KPI'!$M$6)*G10/SUM($G$6:$G$15))</f>
        <v>0</v>
      </c>
      <c r="AA10" s="117" t="n">
        <f aca="false">T10-U10-Z10-Y10</f>
        <v>0</v>
      </c>
      <c r="AB10" s="119" t="n">
        <f aca="false">IF('W Fees &amp; KPI'!$D$6=0,0,T10-U10-Z10)</f>
        <v>0</v>
      </c>
    </row>
    <row r="11" customFormat="false" ht="21" hidden="false" customHeight="true" outlineLevel="0" collapsed="false">
      <c r="C11" s="144" t="n">
        <f aca="false">46266</f>
        <v>46266</v>
      </c>
      <c r="D11" s="81" t="n">
        <f aca="false">1</f>
        <v>1</v>
      </c>
      <c r="E11" s="81" t="str">
        <f aca="false">'W Sites'!C11</f>
        <v>S06</v>
      </c>
      <c r="F11" s="145" t="n">
        <f aca="false">'W Sites'!$G$11*MAX(0,EOMONTH(C11,0)-MAX(C11,'W Sites'!$F$11)+1)/DAY(EOMONTH(C11,0))</f>
        <v>0</v>
      </c>
      <c r="G11" s="145" t="n">
        <f aca="false">'W Sites'!$G$11*MAX(0,EOMONTH(C11,0)-MAX(C11,'W Sites'!$F$11,'W Assumptions'!$D$58)+1)/DAY(EOMONTH(C11,0))</f>
        <v>0</v>
      </c>
      <c r="H11" s="81" t="n">
        <f aca="false">'W Sites'!$H$11*F11*'W Sites'!$I$11*IF(((YEAR(C11)-YEAR('W Sites'!$F$11))*12+MONTH(C11)-MONTH('W Sites'!$F$11))=0,'W Assumptions'!$D$62,IF(((YEAR(C11)-YEAR('W Sites'!$F$11))*12+MONTH(C11)-MONTH('W Sites'!$F$11))=1,'W Assumptions'!$D$63,1))*INDEX('W Assumptions'!$D$7:$F$7,1,D11)*INDEX('W Assumptions'!$D$32:$F$32,1,D11)*INDEX('W Assumptions'!$D$80:$D$91,MONTH(C11),1)/AVERAGE('W Assumptions'!$D$80:$D$91)</f>
        <v>0</v>
      </c>
      <c r="I11" s="81" t="n">
        <f aca="false">H11*'W Sites'!$J$11/(1+'W Assumptions'!$D$39)*INDEX('W Assumptions'!$D$12:$F$12,1,D11)*INDEX('W Assumptions'!$D$33:$F$33,1,D11)</f>
        <v>0</v>
      </c>
      <c r="J11" s="81" t="n">
        <f aca="false">H11*'W Sites'!$K$11/(1+'W Assumptions'!$D$39)*INDEX('W Assumptions'!$D$12:$F$12,1,D11)*INDEX('W Assumptions'!$D$33:$F$33,1,D11)</f>
        <v>0</v>
      </c>
      <c r="K11" s="81" t="n">
        <f aca="false">'W Sites'!$L$11*F11*IF(((YEAR(C11)-YEAR('W Sites'!$F$11))*12+MONTH(C11)-MONTH('W Sites'!$F$11))=0,'W Assumptions'!$D$62,IF(((YEAR(C11)-YEAR('W Sites'!$F$11))*12+MONTH(C11)-MONTH('W Sites'!$F$11))=1,'W Assumptions'!$D$63,1))*INDEX('W Assumptions'!$D$7:$F$7,1,D11)*INDEX('W Assumptions'!$D$32:$F$32,1,D11)</f>
        <v>0</v>
      </c>
      <c r="L11" s="81" t="n">
        <f aca="false">SUM(I11:K11)</f>
        <v>0</v>
      </c>
      <c r="M11" s="81" t="n">
        <f aca="false">'W Site Costs'!$I$11*F11*INDEX('W Assumptions'!$D$34:$F$34,1,D11)*INDEX('W Assumptions'!$D$22:$F$22,1,D11)</f>
        <v>0</v>
      </c>
      <c r="N11" s="81" t="n">
        <f aca="false">'W Site Costs'!$J$11*F11*INDEX('W Assumptions'!$D$35:$F$35,1,D11)*INDEX('W Assumptions'!$D$22:$F$22,1,D11)</f>
        <v>0</v>
      </c>
      <c r="O11" s="81" t="n">
        <f aca="false">L11*'W Site Costs'!$K$11</f>
        <v>0</v>
      </c>
      <c r="P11" s="81" t="n">
        <f aca="false">SUM('W Site Costs'!$L$11:$Q$11)*F11*INDEX('W Assumptions'!$D$35:$F$35,1,D11)*INDEX('W Assumptions'!$D$22:$F$22,1,D11)</f>
        <v>0</v>
      </c>
      <c r="Q11" s="81" t="n">
        <f aca="false">L11*'W Site Costs'!$R$11*INDEX('W Assumptions'!$D$17:$F$17,1,D11)</f>
        <v>0</v>
      </c>
      <c r="R11" s="112" t="n">
        <f aca="false">L11*'W Sites'!$M$11</f>
        <v>0</v>
      </c>
      <c r="S11" s="81" t="n">
        <f aca="false">SUM(M11:R11)</f>
        <v>0</v>
      </c>
      <c r="T11" s="81" t="n">
        <f aca="false">L11-S11</f>
        <v>0</v>
      </c>
      <c r="U11" s="81" t="n">
        <f aca="false">IF(C11='W Budget &amp; Owners'!$I$11,'W Budget &amp; Owners'!$F$11*'W Sites'!$G$11,0)</f>
        <v>15000</v>
      </c>
      <c r="V11" s="81" t="n">
        <f aca="false">'W Sites'!$G$11*'W Budget &amp; Owners'!$E$11*INDEX('W Assumptions'!$D$27:$F$27,1,D11)*(IF(C11='W Budget &amp; Owners'!$I$11,'W Assumptions'!$D$65,0)+IF(C11=DATE(YEAR('W Sites'!$F$11),MONTH('W Sites'!$F$11),1),1-'W Assumptions'!$D$65,0))+'W Sites'!$G$11*'W Budget &amp; Owners'!$E$11*IF(C11=DATE(2027,9,1),'W Assumptions'!$D$67,IF(C11=DATE(2028,9,1),'W Assumptions'!$D$69,0))</f>
        <v>90000</v>
      </c>
      <c r="W11" s="81" t="n">
        <f aca="false">IF(((YEAR(C11)-YEAR('W Sites'!$F$11))*12+MONTH(C11)-MONTH('W Sites'!$F$11))&lt;'W Budget &amp; Owners'!$H$11,'W Budget &amp; Owners'!$E$11/'W Budget &amp; Owners'!$H$11*F11,0)+IF(C11&gt;=DATE(2027,9,1),'W Budget &amp; Owners'!$E$11*'W Assumptions'!$D$67/'W Budget &amp; Owners'!$H$11*F11,0)+IF(C11&gt;=DATE(2028,9,1),'W Budget &amp; Owners'!$E$11*'W Assumptions'!$D$69/'W Budget &amp; Owners'!$H$11*F11,0)</f>
        <v>0</v>
      </c>
      <c r="X11" s="81" t="n">
        <f aca="false">IF(C11='W Budget &amp; Owners'!$I$11,'W Budget &amp; Owners'!$G$11*'W Sites'!$G$11,0)</f>
        <v>10000</v>
      </c>
      <c r="Y11" s="112" t="n">
        <f aca="false">IF(SUM($G$6:$G$15)=0,0,'W Fees &amp; KPI'!$Q$6*G11/SUM($G$6:$G$15))</f>
        <v>0</v>
      </c>
      <c r="Z11" s="119" t="n">
        <f aca="false">IF(SUM($G$6:$G$15)=0,0,SUM('W Fees &amp; KPI'!$J$6,'W Fees &amp; KPI'!$M$6)*G11/SUM($G$6:$G$15))</f>
        <v>0</v>
      </c>
      <c r="AA11" s="117" t="n">
        <f aca="false">T11-U11-Z11-Y11</f>
        <v>-15000</v>
      </c>
      <c r="AB11" s="119" t="n">
        <f aca="false">IF('W Fees &amp; KPI'!$D$6=0,0,T11-U11-Z11)</f>
        <v>0</v>
      </c>
    </row>
    <row r="12" customFormat="false" ht="21" hidden="false" customHeight="true" outlineLevel="0" collapsed="false">
      <c r="C12" s="144" t="n">
        <f aca="false">46266</f>
        <v>46266</v>
      </c>
      <c r="D12" s="81" t="n">
        <f aca="false">1</f>
        <v>1</v>
      </c>
      <c r="E12" s="81" t="str">
        <f aca="false">'W Sites'!C12</f>
        <v>S07</v>
      </c>
      <c r="F12" s="145" t="n">
        <f aca="false">'W Sites'!$G$12*MAX(0,EOMONTH(C12,0)-MAX(C12,'W Sites'!$F$12)+1)/DAY(EOMONTH(C12,0))</f>
        <v>0</v>
      </c>
      <c r="G12" s="145" t="n">
        <f aca="false">'W Sites'!$G$12*MAX(0,EOMONTH(C12,0)-MAX(C12,'W Sites'!$F$12,'W Assumptions'!$D$58)+1)/DAY(EOMONTH(C12,0))</f>
        <v>0</v>
      </c>
      <c r="H12" s="81" t="n">
        <f aca="false">'W Sites'!$H$12*F12*'W Sites'!$I$12*IF(((YEAR(C12)-YEAR('W Sites'!$F$12))*12+MONTH(C12)-MONTH('W Sites'!$F$12))=0,'W Assumptions'!$D$62,IF(((YEAR(C12)-YEAR('W Sites'!$F$12))*12+MONTH(C12)-MONTH('W Sites'!$F$12))=1,'W Assumptions'!$D$63,1))*INDEX('W Assumptions'!$D$7:$F$7,1,D12)*INDEX('W Assumptions'!$D$32:$F$32,1,D12)*INDEX('W Assumptions'!$D$80:$D$91,MONTH(C12),1)/AVERAGE('W Assumptions'!$D$80:$D$91)</f>
        <v>0</v>
      </c>
      <c r="I12" s="81" t="n">
        <f aca="false">H12*'W Sites'!$J$12/(1+'W Assumptions'!$D$39)*INDEX('W Assumptions'!$D$12:$F$12,1,D12)*INDEX('W Assumptions'!$D$33:$F$33,1,D12)</f>
        <v>0</v>
      </c>
      <c r="J12" s="81" t="n">
        <f aca="false">H12*'W Sites'!$K$12/(1+'W Assumptions'!$D$39)*INDEX('W Assumptions'!$D$12:$F$12,1,D12)*INDEX('W Assumptions'!$D$33:$F$33,1,D12)</f>
        <v>0</v>
      </c>
      <c r="K12" s="81" t="n">
        <f aca="false">'W Sites'!$L$12*F12*IF(((YEAR(C12)-YEAR('W Sites'!$F$12))*12+MONTH(C12)-MONTH('W Sites'!$F$12))=0,'W Assumptions'!$D$62,IF(((YEAR(C12)-YEAR('W Sites'!$F$12))*12+MONTH(C12)-MONTH('W Sites'!$F$12))=1,'W Assumptions'!$D$63,1))*INDEX('W Assumptions'!$D$7:$F$7,1,D12)*INDEX('W Assumptions'!$D$32:$F$32,1,D12)</f>
        <v>0</v>
      </c>
      <c r="L12" s="81" t="n">
        <f aca="false">SUM(I12:K12)</f>
        <v>0</v>
      </c>
      <c r="M12" s="81" t="n">
        <f aca="false">'W Site Costs'!$I$12*F12*INDEX('W Assumptions'!$D$34:$F$34,1,D12)*INDEX('W Assumptions'!$D$22:$F$22,1,D12)</f>
        <v>0</v>
      </c>
      <c r="N12" s="81" t="n">
        <f aca="false">'W Site Costs'!$J$12*F12*INDEX('W Assumptions'!$D$35:$F$35,1,D12)*INDEX('W Assumptions'!$D$22:$F$22,1,D12)</f>
        <v>0</v>
      </c>
      <c r="O12" s="81" t="n">
        <f aca="false">L12*'W Site Costs'!$K$12</f>
        <v>0</v>
      </c>
      <c r="P12" s="81" t="n">
        <f aca="false">SUM('W Site Costs'!$L$12:$Q$12)*F12*INDEX('W Assumptions'!$D$35:$F$35,1,D12)*INDEX('W Assumptions'!$D$22:$F$22,1,D12)</f>
        <v>0</v>
      </c>
      <c r="Q12" s="81" t="n">
        <f aca="false">L12*'W Site Costs'!$R$12*INDEX('W Assumptions'!$D$17:$F$17,1,D12)</f>
        <v>0</v>
      </c>
      <c r="R12" s="112" t="n">
        <f aca="false">L12*'W Sites'!$M$12</f>
        <v>0</v>
      </c>
      <c r="S12" s="81" t="n">
        <f aca="false">SUM(M12:R12)</f>
        <v>0</v>
      </c>
      <c r="T12" s="81" t="n">
        <f aca="false">L12-S12</f>
        <v>0</v>
      </c>
      <c r="U12" s="81" t="n">
        <f aca="false">IF(C12='W Budget &amp; Owners'!$I$12,'W Budget &amp; Owners'!$F$12*'W Sites'!$G$12,0)</f>
        <v>0</v>
      </c>
      <c r="V12" s="81" t="n">
        <f aca="false">'W Sites'!$G$12*'W Budget &amp; Owners'!$E$12*INDEX('W Assumptions'!$D$27:$F$27,1,D12)*(IF(C12='W Budget &amp; Owners'!$I$12,'W Assumptions'!$D$65,0)+IF(C12=DATE(YEAR('W Sites'!$F$12),MONTH('W Sites'!$F$12),1),1-'W Assumptions'!$D$65,0))+'W Sites'!$G$12*'W Budget &amp; Owners'!$E$12*IF(C12=DATE(2027,9,1),'W Assumptions'!$D$67,IF(C12=DATE(2028,9,1),'W Assumptions'!$D$69,0))</f>
        <v>0</v>
      </c>
      <c r="W12" s="81" t="n">
        <f aca="false">IF(((YEAR(C12)-YEAR('W Sites'!$F$12))*12+MONTH(C12)-MONTH('W Sites'!$F$12))&lt;'W Budget &amp; Owners'!$H$12,'W Budget &amp; Owners'!$E$12/'W Budget &amp; Owners'!$H$12*F12,0)+IF(C12&gt;=DATE(2027,9,1),'W Budget &amp; Owners'!$E$12*'W Assumptions'!$D$67/'W Budget &amp; Owners'!$H$12*F12,0)+IF(C12&gt;=DATE(2028,9,1),'W Budget &amp; Owners'!$E$12*'W Assumptions'!$D$69/'W Budget &amp; Owners'!$H$12*F12,0)</f>
        <v>0</v>
      </c>
      <c r="X12" s="81" t="n">
        <f aca="false">IF(C12='W Budget &amp; Owners'!$I$12,'W Budget &amp; Owners'!$G$12*'W Sites'!$G$12,0)</f>
        <v>0</v>
      </c>
      <c r="Y12" s="112" t="n">
        <f aca="false">IF(SUM($G$6:$G$15)=0,0,'W Fees &amp; KPI'!$Q$6*G12/SUM($G$6:$G$15))</f>
        <v>0</v>
      </c>
      <c r="Z12" s="119" t="n">
        <f aca="false">IF(SUM($G$6:$G$15)=0,0,SUM('W Fees &amp; KPI'!$J$6,'W Fees &amp; KPI'!$M$6)*G12/SUM($G$6:$G$15))</f>
        <v>0</v>
      </c>
      <c r="AA12" s="117" t="n">
        <f aca="false">T12-U12-Z12-Y12</f>
        <v>0</v>
      </c>
      <c r="AB12" s="119" t="n">
        <f aca="false">IF('W Fees &amp; KPI'!$D$6=0,0,T12-U12-Z12)</f>
        <v>0</v>
      </c>
    </row>
    <row r="13" customFormat="false" ht="21" hidden="false" customHeight="true" outlineLevel="0" collapsed="false">
      <c r="C13" s="144" t="n">
        <f aca="false">46266</f>
        <v>46266</v>
      </c>
      <c r="D13" s="81" t="n">
        <f aca="false">1</f>
        <v>1</v>
      </c>
      <c r="E13" s="81" t="str">
        <f aca="false">'W Sites'!C13</f>
        <v>S08</v>
      </c>
      <c r="F13" s="145" t="n">
        <f aca="false">'W Sites'!$G$13*MAX(0,EOMONTH(C13,0)-MAX(C13,'W Sites'!$F$13)+1)/DAY(EOMONTH(C13,0))</f>
        <v>0</v>
      </c>
      <c r="G13" s="145" t="n">
        <f aca="false">'W Sites'!$G$13*MAX(0,EOMONTH(C13,0)-MAX(C13,'W Sites'!$F$13,'W Assumptions'!$D$58)+1)/DAY(EOMONTH(C13,0))</f>
        <v>0</v>
      </c>
      <c r="H13" s="81" t="n">
        <f aca="false">'W Sites'!$H$13*F13*'W Sites'!$I$13*IF(((YEAR(C13)-YEAR('W Sites'!$F$13))*12+MONTH(C13)-MONTH('W Sites'!$F$13))=0,'W Assumptions'!$D$62,IF(((YEAR(C13)-YEAR('W Sites'!$F$13))*12+MONTH(C13)-MONTH('W Sites'!$F$13))=1,'W Assumptions'!$D$63,1))*INDEX('W Assumptions'!$D$7:$F$7,1,D13)*INDEX('W Assumptions'!$D$32:$F$32,1,D13)*INDEX('W Assumptions'!$D$80:$D$91,MONTH(C13),1)/AVERAGE('W Assumptions'!$D$80:$D$91)</f>
        <v>0</v>
      </c>
      <c r="I13" s="81" t="n">
        <f aca="false">H13*'W Sites'!$J$13/(1+'W Assumptions'!$D$39)*INDEX('W Assumptions'!$D$12:$F$12,1,D13)*INDEX('W Assumptions'!$D$33:$F$33,1,D13)</f>
        <v>0</v>
      </c>
      <c r="J13" s="81" t="n">
        <f aca="false">H13*'W Sites'!$K$13/(1+'W Assumptions'!$D$39)*INDEX('W Assumptions'!$D$12:$F$12,1,D13)*INDEX('W Assumptions'!$D$33:$F$33,1,D13)</f>
        <v>0</v>
      </c>
      <c r="K13" s="81" t="n">
        <f aca="false">'W Sites'!$L$13*F13*IF(((YEAR(C13)-YEAR('W Sites'!$F$13))*12+MONTH(C13)-MONTH('W Sites'!$F$13))=0,'W Assumptions'!$D$62,IF(((YEAR(C13)-YEAR('W Sites'!$F$13))*12+MONTH(C13)-MONTH('W Sites'!$F$13))=1,'W Assumptions'!$D$63,1))*INDEX('W Assumptions'!$D$7:$F$7,1,D13)*INDEX('W Assumptions'!$D$32:$F$32,1,D13)</f>
        <v>0</v>
      </c>
      <c r="L13" s="81" t="n">
        <f aca="false">SUM(I13:K13)</f>
        <v>0</v>
      </c>
      <c r="M13" s="81" t="n">
        <f aca="false">'W Site Costs'!$I$13*F13*INDEX('W Assumptions'!$D$34:$F$34,1,D13)*INDEX('W Assumptions'!$D$22:$F$22,1,D13)</f>
        <v>0</v>
      </c>
      <c r="N13" s="81" t="n">
        <f aca="false">'W Site Costs'!$J$13*F13*INDEX('W Assumptions'!$D$35:$F$35,1,D13)*INDEX('W Assumptions'!$D$22:$F$22,1,D13)</f>
        <v>0</v>
      </c>
      <c r="O13" s="81" t="n">
        <f aca="false">L13*'W Site Costs'!$K$13</f>
        <v>0</v>
      </c>
      <c r="P13" s="81" t="n">
        <f aca="false">SUM('W Site Costs'!$L$13:$Q$13)*F13*INDEX('W Assumptions'!$D$35:$F$35,1,D13)*INDEX('W Assumptions'!$D$22:$F$22,1,D13)</f>
        <v>0</v>
      </c>
      <c r="Q13" s="81" t="n">
        <f aca="false">L13*'W Site Costs'!$R$13*INDEX('W Assumptions'!$D$17:$F$17,1,D13)</f>
        <v>0</v>
      </c>
      <c r="R13" s="112" t="n">
        <f aca="false">L13*'W Sites'!$M$13</f>
        <v>0</v>
      </c>
      <c r="S13" s="81" t="n">
        <f aca="false">SUM(M13:R13)</f>
        <v>0</v>
      </c>
      <c r="T13" s="81" t="n">
        <f aca="false">L13-S13</f>
        <v>0</v>
      </c>
      <c r="U13" s="81" t="n">
        <f aca="false">IF(C13='W Budget &amp; Owners'!$I$13,'W Budget &amp; Owners'!$F$13*'W Sites'!$G$13,0)</f>
        <v>0</v>
      </c>
      <c r="V13" s="81" t="n">
        <f aca="false">'W Sites'!$G$13*'W Budget &amp; Owners'!$E$13*INDEX('W Assumptions'!$D$27:$F$27,1,D13)*(IF(C13='W Budget &amp; Owners'!$I$13,'W Assumptions'!$D$65,0)+IF(C13=DATE(YEAR('W Sites'!$F$13),MONTH('W Sites'!$F$13),1),1-'W Assumptions'!$D$65,0))+'W Sites'!$G$13*'W Budget &amp; Owners'!$E$13*IF(C13=DATE(2027,9,1),'W Assumptions'!$D$67,IF(C13=DATE(2028,9,1),'W Assumptions'!$D$69,0))</f>
        <v>0</v>
      </c>
      <c r="W13" s="81" t="n">
        <f aca="false">IF(((YEAR(C13)-YEAR('W Sites'!$F$13))*12+MONTH(C13)-MONTH('W Sites'!$F$13))&lt;'W Budget &amp; Owners'!$H$13,'W Budget &amp; Owners'!$E$13/'W Budget &amp; Owners'!$H$13*F13,0)+IF(C13&gt;=DATE(2027,9,1),'W Budget &amp; Owners'!$E$13*'W Assumptions'!$D$67/'W Budget &amp; Owners'!$H$13*F13,0)+IF(C13&gt;=DATE(2028,9,1),'W Budget &amp; Owners'!$E$13*'W Assumptions'!$D$69/'W Budget &amp; Owners'!$H$13*F13,0)</f>
        <v>0</v>
      </c>
      <c r="X13" s="81" t="n">
        <f aca="false">IF(C13='W Budget &amp; Owners'!$I$13,'W Budget &amp; Owners'!$G$13*'W Sites'!$G$13,0)</f>
        <v>0</v>
      </c>
      <c r="Y13" s="112" t="n">
        <f aca="false">IF(SUM($G$6:$G$15)=0,0,'W Fees &amp; KPI'!$Q$6*G13/SUM($G$6:$G$15))</f>
        <v>0</v>
      </c>
      <c r="Z13" s="119" t="n">
        <f aca="false">IF(SUM($G$6:$G$15)=0,0,SUM('W Fees &amp; KPI'!$J$6,'W Fees &amp; KPI'!$M$6)*G13/SUM($G$6:$G$15))</f>
        <v>0</v>
      </c>
      <c r="AA13" s="117" t="n">
        <f aca="false">T13-U13-Z13-Y13</f>
        <v>0</v>
      </c>
      <c r="AB13" s="119" t="n">
        <f aca="false">IF('W Fees &amp; KPI'!$D$6=0,0,T13-U13-Z13)</f>
        <v>0</v>
      </c>
    </row>
    <row r="14" customFormat="false" ht="21" hidden="false" customHeight="true" outlineLevel="0" collapsed="false">
      <c r="C14" s="144" t="n">
        <f aca="false">46266</f>
        <v>46266</v>
      </c>
      <c r="D14" s="81" t="n">
        <f aca="false">1</f>
        <v>1</v>
      </c>
      <c r="E14" s="81" t="str">
        <f aca="false">'W Sites'!C14</f>
        <v>S09</v>
      </c>
      <c r="F14" s="145" t="n">
        <f aca="false">'W Sites'!$G$14*MAX(0,EOMONTH(C14,0)-MAX(C14,'W Sites'!$F$14)+1)/DAY(EOMONTH(C14,0))</f>
        <v>0</v>
      </c>
      <c r="G14" s="145" t="n">
        <f aca="false">'W Sites'!$G$14*MAX(0,EOMONTH(C14,0)-MAX(C14,'W Sites'!$F$14,'W Assumptions'!$D$58)+1)/DAY(EOMONTH(C14,0))</f>
        <v>0</v>
      </c>
      <c r="H14" s="81" t="n">
        <f aca="false">'W Sites'!$H$14*F14*'W Sites'!$I$14*IF(((YEAR(C14)-YEAR('W Sites'!$F$14))*12+MONTH(C14)-MONTH('W Sites'!$F$14))=0,'W Assumptions'!$D$62,IF(((YEAR(C14)-YEAR('W Sites'!$F$14))*12+MONTH(C14)-MONTH('W Sites'!$F$14))=1,'W Assumptions'!$D$63,1))*INDEX('W Assumptions'!$D$7:$F$7,1,D14)*INDEX('W Assumptions'!$D$32:$F$32,1,D14)*INDEX('W Assumptions'!$D$80:$D$91,MONTH(C14),1)/AVERAGE('W Assumptions'!$D$80:$D$91)</f>
        <v>0</v>
      </c>
      <c r="I14" s="81" t="n">
        <f aca="false">H14*'W Sites'!$J$14/(1+'W Assumptions'!$D$39)*INDEX('W Assumptions'!$D$12:$F$12,1,D14)*INDEX('W Assumptions'!$D$33:$F$33,1,D14)</f>
        <v>0</v>
      </c>
      <c r="J14" s="81" t="n">
        <f aca="false">H14*'W Sites'!$K$14/(1+'W Assumptions'!$D$39)*INDEX('W Assumptions'!$D$12:$F$12,1,D14)*INDEX('W Assumptions'!$D$33:$F$33,1,D14)</f>
        <v>0</v>
      </c>
      <c r="K14" s="81" t="n">
        <f aca="false">'W Sites'!$L$14*F14*IF(((YEAR(C14)-YEAR('W Sites'!$F$14))*12+MONTH(C14)-MONTH('W Sites'!$F$14))=0,'W Assumptions'!$D$62,IF(((YEAR(C14)-YEAR('W Sites'!$F$14))*12+MONTH(C14)-MONTH('W Sites'!$F$14))=1,'W Assumptions'!$D$63,1))*INDEX('W Assumptions'!$D$7:$F$7,1,D14)*INDEX('W Assumptions'!$D$32:$F$32,1,D14)</f>
        <v>0</v>
      </c>
      <c r="L14" s="81" t="n">
        <f aca="false">SUM(I14:K14)</f>
        <v>0</v>
      </c>
      <c r="M14" s="81" t="n">
        <f aca="false">'W Site Costs'!$I$14*F14*INDEX('W Assumptions'!$D$34:$F$34,1,D14)*INDEX('W Assumptions'!$D$22:$F$22,1,D14)</f>
        <v>0</v>
      </c>
      <c r="N14" s="81" t="n">
        <f aca="false">'W Site Costs'!$J$14*F14*INDEX('W Assumptions'!$D$35:$F$35,1,D14)*INDEX('W Assumptions'!$D$22:$F$22,1,D14)</f>
        <v>0</v>
      </c>
      <c r="O14" s="81" t="n">
        <f aca="false">L14*'W Site Costs'!$K$14</f>
        <v>0</v>
      </c>
      <c r="P14" s="81" t="n">
        <f aca="false">SUM('W Site Costs'!$L$14:$Q$14)*F14*INDEX('W Assumptions'!$D$35:$F$35,1,D14)*INDEX('W Assumptions'!$D$22:$F$22,1,D14)</f>
        <v>0</v>
      </c>
      <c r="Q14" s="81" t="n">
        <f aca="false">L14*'W Site Costs'!$R$14*INDEX('W Assumptions'!$D$17:$F$17,1,D14)</f>
        <v>0</v>
      </c>
      <c r="R14" s="112" t="n">
        <f aca="false">L14*'W Sites'!$M$14</f>
        <v>0</v>
      </c>
      <c r="S14" s="81" t="n">
        <f aca="false">SUM(M14:R14)</f>
        <v>0</v>
      </c>
      <c r="T14" s="81" t="n">
        <f aca="false">L14-S14</f>
        <v>0</v>
      </c>
      <c r="U14" s="81" t="n">
        <f aca="false">IF(C14='W Budget &amp; Owners'!$I$14,'W Budget &amp; Owners'!$F$14*'W Sites'!$G$14,0)</f>
        <v>0</v>
      </c>
      <c r="V14" s="81" t="n">
        <f aca="false">'W Sites'!$G$14*'W Budget &amp; Owners'!$E$14*INDEX('W Assumptions'!$D$27:$F$27,1,D14)*(IF(C14='W Budget &amp; Owners'!$I$14,'W Assumptions'!$D$65,0)+IF(C14=DATE(YEAR('W Sites'!$F$14),MONTH('W Sites'!$F$14),1),1-'W Assumptions'!$D$65,0))+'W Sites'!$G$14*'W Budget &amp; Owners'!$E$14*IF(C14=DATE(2027,9,1),'W Assumptions'!$D$67,IF(C14=DATE(2028,9,1),'W Assumptions'!$D$69,0))</f>
        <v>0</v>
      </c>
      <c r="W14" s="81" t="n">
        <f aca="false">IF(((YEAR(C14)-YEAR('W Sites'!$F$14))*12+MONTH(C14)-MONTH('W Sites'!$F$14))&lt;'W Budget &amp; Owners'!$H$14,'W Budget &amp; Owners'!$E$14/'W Budget &amp; Owners'!$H$14*F14,0)+IF(C14&gt;=DATE(2027,9,1),'W Budget &amp; Owners'!$E$14*'W Assumptions'!$D$67/'W Budget &amp; Owners'!$H$14*F14,0)+IF(C14&gt;=DATE(2028,9,1),'W Budget &amp; Owners'!$E$14*'W Assumptions'!$D$69/'W Budget &amp; Owners'!$H$14*F14,0)</f>
        <v>0</v>
      </c>
      <c r="X14" s="81" t="n">
        <f aca="false">IF(C14='W Budget &amp; Owners'!$I$14,'W Budget &amp; Owners'!$G$14*'W Sites'!$G$14,0)</f>
        <v>0</v>
      </c>
      <c r="Y14" s="112" t="n">
        <f aca="false">IF(SUM($G$6:$G$15)=0,0,'W Fees &amp; KPI'!$Q$6*G14/SUM($G$6:$G$15))</f>
        <v>0</v>
      </c>
      <c r="Z14" s="119" t="n">
        <f aca="false">IF(SUM($G$6:$G$15)=0,0,SUM('W Fees &amp; KPI'!$J$6,'W Fees &amp; KPI'!$M$6)*G14/SUM($G$6:$G$15))</f>
        <v>0</v>
      </c>
      <c r="AA14" s="117" t="n">
        <f aca="false">T14-U14-Z14-Y14</f>
        <v>0</v>
      </c>
      <c r="AB14" s="119" t="n">
        <f aca="false">IF('W Fees &amp; KPI'!$D$6=0,0,T14-U14-Z14)</f>
        <v>0</v>
      </c>
    </row>
    <row r="15" customFormat="false" ht="21" hidden="false" customHeight="true" outlineLevel="0" collapsed="false">
      <c r="C15" s="144" t="n">
        <f aca="false">46266</f>
        <v>46266</v>
      </c>
      <c r="D15" s="81" t="n">
        <f aca="false">1</f>
        <v>1</v>
      </c>
      <c r="E15" s="81" t="str">
        <f aca="false">'W Sites'!C15</f>
        <v>S10</v>
      </c>
      <c r="F15" s="145" t="n">
        <f aca="false">'W Sites'!$G$15*MAX(0,EOMONTH(C15,0)-MAX(C15,'W Sites'!$F$15)+1)/DAY(EOMONTH(C15,0))</f>
        <v>0</v>
      </c>
      <c r="G15" s="145" t="n">
        <f aca="false">'W Sites'!$G$15*MAX(0,EOMONTH(C15,0)-MAX(C15,'W Sites'!$F$15,'W Assumptions'!$D$58)+1)/DAY(EOMONTH(C15,0))</f>
        <v>0</v>
      </c>
      <c r="H15" s="81" t="n">
        <f aca="false">'W Sites'!$H$15*F15*'W Sites'!$I$15*IF(((YEAR(C15)-YEAR('W Sites'!$F$15))*12+MONTH(C15)-MONTH('W Sites'!$F$15))=0,'W Assumptions'!$D$62,IF(((YEAR(C15)-YEAR('W Sites'!$F$15))*12+MONTH(C15)-MONTH('W Sites'!$F$15))=1,'W Assumptions'!$D$63,1))*INDEX('W Assumptions'!$D$7:$F$7,1,D15)*INDEX('W Assumptions'!$D$32:$F$32,1,D15)*INDEX('W Assumptions'!$D$80:$D$91,MONTH(C15),1)/AVERAGE('W Assumptions'!$D$80:$D$91)</f>
        <v>0</v>
      </c>
      <c r="I15" s="81" t="n">
        <f aca="false">H15*'W Sites'!$J$15/(1+'W Assumptions'!$D$39)*INDEX('W Assumptions'!$D$12:$F$12,1,D15)*INDEX('W Assumptions'!$D$33:$F$33,1,D15)</f>
        <v>0</v>
      </c>
      <c r="J15" s="81" t="n">
        <f aca="false">H15*'W Sites'!$K$15/(1+'W Assumptions'!$D$39)*INDEX('W Assumptions'!$D$12:$F$12,1,D15)*INDEX('W Assumptions'!$D$33:$F$33,1,D15)</f>
        <v>0</v>
      </c>
      <c r="K15" s="81" t="n">
        <f aca="false">'W Sites'!$L$15*F15*IF(((YEAR(C15)-YEAR('W Sites'!$F$15))*12+MONTH(C15)-MONTH('W Sites'!$F$15))=0,'W Assumptions'!$D$62,IF(((YEAR(C15)-YEAR('W Sites'!$F$15))*12+MONTH(C15)-MONTH('W Sites'!$F$15))=1,'W Assumptions'!$D$63,1))*INDEX('W Assumptions'!$D$7:$F$7,1,D15)*INDEX('W Assumptions'!$D$32:$F$32,1,D15)</f>
        <v>0</v>
      </c>
      <c r="L15" s="81" t="n">
        <f aca="false">SUM(I15:K15)</f>
        <v>0</v>
      </c>
      <c r="M15" s="81" t="n">
        <f aca="false">'W Site Costs'!$I$15*F15*INDEX('W Assumptions'!$D$34:$F$34,1,D15)*INDEX('W Assumptions'!$D$22:$F$22,1,D15)</f>
        <v>0</v>
      </c>
      <c r="N15" s="81" t="n">
        <f aca="false">'W Site Costs'!$J$15*F15*INDEX('W Assumptions'!$D$35:$F$35,1,D15)*INDEX('W Assumptions'!$D$22:$F$22,1,D15)</f>
        <v>0</v>
      </c>
      <c r="O15" s="81" t="n">
        <f aca="false">L15*'W Site Costs'!$K$15</f>
        <v>0</v>
      </c>
      <c r="P15" s="81" t="n">
        <f aca="false">SUM('W Site Costs'!$L$15:$Q$15)*F15*INDEX('W Assumptions'!$D$35:$F$35,1,D15)*INDEX('W Assumptions'!$D$22:$F$22,1,D15)</f>
        <v>0</v>
      </c>
      <c r="Q15" s="81" t="n">
        <f aca="false">L15*'W Site Costs'!$R$15*INDEX('W Assumptions'!$D$17:$F$17,1,D15)</f>
        <v>0</v>
      </c>
      <c r="R15" s="112" t="n">
        <f aca="false">L15*'W Sites'!$M$15</f>
        <v>0</v>
      </c>
      <c r="S15" s="81" t="n">
        <f aca="false">SUM(M15:R15)</f>
        <v>0</v>
      </c>
      <c r="T15" s="81" t="n">
        <f aca="false">L15-S15</f>
        <v>0</v>
      </c>
      <c r="U15" s="81" t="n">
        <f aca="false">IF(C15='W Budget &amp; Owners'!$I$15,'W Budget &amp; Owners'!$F$15*'W Sites'!$G$15,0)</f>
        <v>0</v>
      </c>
      <c r="V15" s="81" t="n">
        <f aca="false">'W Sites'!$G$15*'W Budget &amp; Owners'!$E$15*INDEX('W Assumptions'!$D$27:$F$27,1,D15)*(IF(C15='W Budget &amp; Owners'!$I$15,'W Assumptions'!$D$65,0)+IF(C15=DATE(YEAR('W Sites'!$F$15),MONTH('W Sites'!$F$15),1),1-'W Assumptions'!$D$65,0))+'W Sites'!$G$15*'W Budget &amp; Owners'!$E$15*IF(C15=DATE(2027,9,1),'W Assumptions'!$D$67,IF(C15=DATE(2028,9,1),'W Assumptions'!$D$69,0))</f>
        <v>0</v>
      </c>
      <c r="W15" s="81" t="n">
        <f aca="false">IF(((YEAR(C15)-YEAR('W Sites'!$F$15))*12+MONTH(C15)-MONTH('W Sites'!$F$15))&lt;'W Budget &amp; Owners'!$H$15,'W Budget &amp; Owners'!$E$15/'W Budget &amp; Owners'!$H$15*F15,0)+IF(C15&gt;=DATE(2027,9,1),'W Budget &amp; Owners'!$E$15*'W Assumptions'!$D$67/'W Budget &amp; Owners'!$H$15*F15,0)+IF(C15&gt;=DATE(2028,9,1),'W Budget &amp; Owners'!$E$15*'W Assumptions'!$D$69/'W Budget &amp; Owners'!$H$15*F15,0)</f>
        <v>0</v>
      </c>
      <c r="X15" s="81" t="n">
        <f aca="false">IF(C15='W Budget &amp; Owners'!$I$15,'W Budget &amp; Owners'!$G$15*'W Sites'!$G$15,0)</f>
        <v>0</v>
      </c>
      <c r="Y15" s="112" t="n">
        <f aca="false">IF(SUM($G$6:$G$15)=0,0,'W Fees &amp; KPI'!$Q$6*G15/SUM($G$6:$G$15))</f>
        <v>0</v>
      </c>
      <c r="Z15" s="119" t="n">
        <f aca="false">IF(SUM($G$6:$G$15)=0,0,SUM('W Fees &amp; KPI'!$J$6,'W Fees &amp; KPI'!$M$6)*G15/SUM($G$6:$G$15))</f>
        <v>0</v>
      </c>
      <c r="AA15" s="117" t="n">
        <f aca="false">T15-U15-Z15-Y15</f>
        <v>0</v>
      </c>
      <c r="AB15" s="119" t="n">
        <f aca="false">IF('W Fees &amp; KPI'!$D$6=0,0,T15-U15-Z15)</f>
        <v>0</v>
      </c>
    </row>
    <row r="16" customFormat="false" ht="21" hidden="false" customHeight="true" outlineLevel="0" collapsed="false">
      <c r="C16" s="144" t="n">
        <f aca="false">46296</f>
        <v>46296</v>
      </c>
      <c r="D16" s="81" t="n">
        <f aca="false">1</f>
        <v>1</v>
      </c>
      <c r="E16" s="81" t="str">
        <f aca="false">'W Sites'!C6</f>
        <v>S01</v>
      </c>
      <c r="F16" s="145" t="n">
        <f aca="false">'W Sites'!$G$6*MAX(0,EOMONTH(C16,0)-MAX(C16,'W Sites'!$F$6)+1)/DAY(EOMONTH(C16,0))</f>
        <v>1</v>
      </c>
      <c r="G16" s="145" t="n">
        <f aca="false">'W Sites'!$G$6*MAX(0,EOMONTH(C16,0)-MAX(C16,'W Sites'!$F$6,'W Assumptions'!$D$58)+1)/DAY(EOMONTH(C16,0))</f>
        <v>1</v>
      </c>
      <c r="H16" s="81" t="n">
        <f aca="false">'W Sites'!$D$45*INDEX('W Sites'!$E$65:$E$76,MONTH(C16),1)/SUM('W Sites'!$E$65:$E$76)*F16*(1+'W Sites'!$D$56)^(D16-1)*INDEX('W Assumptions'!$D$7:$F$7,1,D16)</f>
        <v>4688</v>
      </c>
      <c r="I16" s="81" t="n">
        <f aca="false">H16*'W Sites'!$D$46/(1+'W Sites'!$D$54*'W Assumptions'!$D$39)*INDEX('W Assumptions'!$D$12:$F$12,1,D16)</f>
        <v>257840</v>
      </c>
      <c r="J16" s="81" t="n">
        <f aca="false">H16*SUM('W Sites'!$D$47:$D$49)/(1+'W Sites'!$D$54*'W Assumptions'!$D$39)*INDEX('W Assumptions'!$D$12:$F$12,1,D16)</f>
        <v>140640</v>
      </c>
      <c r="K16" s="81" t="n">
        <f aca="false">SUM('W Sites'!$D$50:$D$52)/12*F16*(1+'W Sites'!$D$56)^(D16-1)*INDEX('W Assumptions'!$D$7:$F$7,1,D16)*INDEX('W Assumptions'!$D$12:$F$12,1,D16)/(1+'W Sites'!$D$54*'W Assumptions'!$D$39)</f>
        <v>33333.3333333333</v>
      </c>
      <c r="L16" s="81" t="n">
        <f aca="false">SUM(I16:K16)</f>
        <v>431813.333333333</v>
      </c>
      <c r="M16" s="81" t="n">
        <f aca="false">('W Site Costs'!$I$6+INDEX('W Sites'!$F$65:$F$76,MONTH(C16),1)*'W Site Costs'!$V$6)*F16*(1+'W Sites'!$D$58)^(D16-1)*INDEX('W Assumptions'!$D$22:$F$22,1,D16)</f>
        <v>108500</v>
      </c>
      <c r="N16" s="81" t="n">
        <f aca="false">'W Site Costs'!$J$6*F16*INDEX('W Assumptions'!$D$35:$F$35,1,D16)*INDEX('W Assumptions'!$D$22:$F$22,1,D16)</f>
        <v>15000</v>
      </c>
      <c r="O16" s="81" t="n">
        <f aca="false">L16*'W Site Costs'!$K$6</f>
        <v>0</v>
      </c>
      <c r="P16" s="81" t="n">
        <f aca="false">(SUM('W Site Costs'!$L$6:$Q$6)+INDEX('W Sites'!$F$65:$F$76,MONTH(C16),1)*'W Site Costs'!$W$6)*F16*(1+'W Sites'!$D$58)^(D16-1)*INDEX('W Assumptions'!$D$22:$F$22,1,D16)</f>
        <v>74000</v>
      </c>
      <c r="Q16" s="81" t="n">
        <f aca="false">('W Site Costs'!$X$6+INDEX('W Sites'!$F$65:$F$76,MONTH(C16),1)*'W Site Costs'!$Y$6)*F16*(1+'W Sites'!$D$58)^(D16-1)*INDEX('W Assumptions'!$D$17:$F$17,1,D16)</f>
        <v>18000</v>
      </c>
      <c r="R16" s="112" t="n">
        <f aca="false">L16*'W Sites'!$M$6</f>
        <v>0</v>
      </c>
      <c r="S16" s="81" t="n">
        <f aca="false">SUM(M16:R16)</f>
        <v>215500</v>
      </c>
      <c r="T16" s="81" t="n">
        <f aca="false">L16-S16</f>
        <v>216313.333333333</v>
      </c>
      <c r="U16" s="81" t="n">
        <f aca="false">IF(C16='W Budget &amp; Owners'!$I$6,'W Budget &amp; Owners'!$F$6*'W Sites'!$G$6,0)</f>
        <v>0</v>
      </c>
      <c r="V16" s="81" t="n">
        <f aca="false">'W Sites'!$G$6*'W Budget &amp; Owners'!$E$6*INDEX('W Assumptions'!$D$27:$F$27,1,D16)*(IF(C16='W Budget &amp; Owners'!$I$6,'W Assumptions'!$D$65,0)+IF(C16=DATE(YEAR('W Sites'!$F$6),MONTH('W Sites'!$F$6),1),1-'W Assumptions'!$D$65,0))+'W Sites'!$G$6*'W Budget &amp; Owners'!$E$6*IF(C16=DATE(2027,9,1),'W Assumptions'!$D$67,IF(C16=DATE(2028,9,1),'W Assumptions'!$D$69,0))</f>
        <v>0</v>
      </c>
      <c r="W16" s="81" t="n">
        <f aca="false">IF(((YEAR(C16)-YEAR('W Sites'!$F$6))*12+MONTH(C16)-MONTH('W Sites'!$F$6))&lt;'W Budget &amp; Owners'!$H$6,'W Budget &amp; Owners'!$E$6/'W Budget &amp; Owners'!$H$6*F16,0)+IF(C16&gt;=DATE(2027,9,1),'W Budget &amp; Owners'!$E$6*'W Assumptions'!$D$67/'W Budget &amp; Owners'!$H$6*F16,0)+IF(C16&gt;=DATE(2028,9,1),'W Budget &amp; Owners'!$E$6*'W Assumptions'!$D$69/'W Budget &amp; Owners'!$H$6*F16,0)</f>
        <v>5833.33333333333</v>
      </c>
      <c r="X16" s="81" t="n">
        <f aca="false">IF(C16='W Budget &amp; Owners'!$I$6,'W Budget &amp; Owners'!$G$6*'W Sites'!$G$6,0)</f>
        <v>0</v>
      </c>
      <c r="Y16" s="112" t="n">
        <f aca="false">IF(SUM($G$16:$G$25)=0,0,'W Fees &amp; KPI'!$Q$7*G16/SUM($G$16:$G$25))</f>
        <v>4371.54712516469</v>
      </c>
      <c r="Z16" s="119" t="n">
        <f aca="false">IF(SUM($G$16:$G$25)=0,0,SUM('W Fees &amp; KPI'!$J$7,'W Fees &amp; KPI'!$M$7)*G16/SUM($G$16:$G$25))</f>
        <v>18425.2727272727</v>
      </c>
      <c r="AA16" s="117" t="n">
        <f aca="false">T16-U16-Z16-Y16</f>
        <v>193516.513480896</v>
      </c>
      <c r="AB16" s="119" t="n">
        <f aca="false">IF('W Fees &amp; KPI'!$D$7=0,0,T16-U16-Z16)</f>
        <v>197888.060606061</v>
      </c>
    </row>
    <row r="17" customFormat="false" ht="21" hidden="false" customHeight="true" outlineLevel="0" collapsed="false">
      <c r="C17" s="144" t="n">
        <f aca="false">46296</f>
        <v>46296</v>
      </c>
      <c r="D17" s="81" t="n">
        <f aca="false">1</f>
        <v>1</v>
      </c>
      <c r="E17" s="81" t="str">
        <f aca="false">'W Sites'!C7</f>
        <v>S02</v>
      </c>
      <c r="F17" s="145" t="n">
        <f aca="false">'W Sites'!$G$7*MAX(0,EOMONTH(C17,0)-MAX(C17,'W Sites'!$F$7)+1)/DAY(EOMONTH(C17,0))</f>
        <v>0.387096774193548</v>
      </c>
      <c r="G17" s="145" t="n">
        <f aca="false">'W Sites'!$G$7*MAX(0,EOMONTH(C17,0)-MAX(C17,'W Sites'!$F$7,'W Assumptions'!$D$58)+1)/DAY(EOMONTH(C17,0))</f>
        <v>0.387096774193548</v>
      </c>
      <c r="H17" s="81" t="n">
        <f aca="false">'W Sites'!$H$7*F17*'W Sites'!$I$7*IF(((YEAR(C17)-YEAR('W Sites'!$F$7))*12+MONTH(C17)-MONTH('W Sites'!$F$7))=0,'W Assumptions'!$D$62,IF(((YEAR(C17)-YEAR('W Sites'!$F$7))*12+MONTH(C17)-MONTH('W Sites'!$F$7))=1,'W Assumptions'!$D$63,1))*INDEX('W Assumptions'!$D$7:$F$7,1,D17)*INDEX('W Assumptions'!$D$32:$F$32,1,D17)*INDEX('W Assumptions'!$D$80:$D$91,MONTH(C17),1)/AVERAGE('W Assumptions'!$D$80:$D$91)</f>
        <v>512.129032258065</v>
      </c>
      <c r="I17" s="81" t="n">
        <f aca="false">H17*'W Sites'!$J$7/(1+'W Assumptions'!$D$39)*INDEX('W Assumptions'!$D$12:$F$12,1,D17)*INDEX('W Assumptions'!$D$33:$F$33,1,D17)</f>
        <v>15586.5357643759</v>
      </c>
      <c r="J17" s="81" t="n">
        <f aca="false">H17*'W Sites'!$K$7/(1+'W Assumptions'!$D$39)*INDEX('W Assumptions'!$D$12:$F$12,1,D17)*INDEX('W Assumptions'!$D$33:$F$33,1,D17)</f>
        <v>1335.98877980365</v>
      </c>
      <c r="K17" s="81" t="n">
        <f aca="false">'W Sites'!$L$7*F17*IF(((YEAR(C17)-YEAR('W Sites'!$F$7))*12+MONTH(C17)-MONTH('W Sites'!$F$7))=0,'W Assumptions'!$D$62,IF(((YEAR(C17)-YEAR('W Sites'!$F$7))*12+MONTH(C17)-MONTH('W Sites'!$F$7))=1,'W Assumptions'!$D$63,1))*INDEX('W Assumptions'!$D$7:$F$7,1,D17)*INDEX('W Assumptions'!$D$32:$F$32,1,D17)</f>
        <v>1161.29032258065</v>
      </c>
      <c r="L17" s="81" t="n">
        <f aca="false">SUM(I17:K17)</f>
        <v>18083.8148667602</v>
      </c>
      <c r="M17" s="81" t="n">
        <f aca="false">'W Site Costs'!$I$7*F17*INDEX('W Assumptions'!$D$34:$F$34,1,D17)*INDEX('W Assumptions'!$D$22:$F$22,1,D17)</f>
        <v>12561.2903225806</v>
      </c>
      <c r="N17" s="81" t="n">
        <f aca="false">'W Site Costs'!$J$7*F17*INDEX('W Assumptions'!$D$35:$F$35,1,D17)*INDEX('W Assumptions'!$D$22:$F$22,1,D17)</f>
        <v>0</v>
      </c>
      <c r="O17" s="81" t="n">
        <f aca="false">L17*'W Site Costs'!$K$7</f>
        <v>2712.57223001403</v>
      </c>
      <c r="P17" s="81" t="n">
        <f aca="false">SUM('W Site Costs'!$L$7:$Q$7)*F17*INDEX('W Assumptions'!$D$35:$F$35,1,D17)*INDEX('W Assumptions'!$D$22:$F$22,1,D17)</f>
        <v>4529.03225806452</v>
      </c>
      <c r="Q17" s="81" t="n">
        <f aca="false">L17*'W Site Costs'!$R$7*INDEX('W Assumptions'!$D$17:$F$17,1,D17)</f>
        <v>1085.02889200561</v>
      </c>
      <c r="R17" s="112" t="n">
        <f aca="false">L17*'W Sites'!$M$7</f>
        <v>0</v>
      </c>
      <c r="S17" s="81" t="n">
        <f aca="false">SUM(M17:R17)</f>
        <v>20887.9237026648</v>
      </c>
      <c r="T17" s="81" t="n">
        <f aca="false">L17-S17</f>
        <v>-2804.10883590463</v>
      </c>
      <c r="U17" s="81" t="n">
        <f aca="false">IF(C17='W Budget &amp; Owners'!$I$7,'W Budget &amp; Owners'!$F$7*'W Sites'!$G$7,0)</f>
        <v>0</v>
      </c>
      <c r="V17" s="81" t="n">
        <f aca="false">'W Sites'!$G$7*'W Budget &amp; Owners'!$E$7*INDEX('W Assumptions'!$D$27:$F$27,1,D17)*(IF(C17='W Budget &amp; Owners'!$I$7,'W Assumptions'!$D$65,0)+IF(C17=DATE(YEAR('W Sites'!$F$7),MONTH('W Sites'!$F$7),1),1-'W Assumptions'!$D$65,0))+'W Sites'!$G$7*'W Budget &amp; Owners'!$E$7*IF(C17=DATE(2027,9,1),'W Assumptions'!$D$67,IF(C17=DATE(2028,9,1),'W Assumptions'!$D$69,0))</f>
        <v>32000</v>
      </c>
      <c r="W17" s="81" t="n">
        <f aca="false">IF(((YEAR(C17)-YEAR('W Sites'!$F$7))*12+MONTH(C17)-MONTH('W Sites'!$F$7))&lt;'W Budget &amp; Owners'!$H$7,'W Budget &amp; Owners'!$E$7/'W Budget &amp; Owners'!$H$7*F17,0)+IF(C17&gt;=DATE(2027,9,1),'W Budget &amp; Owners'!$E$7*'W Assumptions'!$D$67/'W Budget &amp; Owners'!$H$7*F17,0)+IF(C17&gt;=DATE(2028,9,1),'W Budget &amp; Owners'!$E$7*'W Assumptions'!$D$69/'W Budget &amp; Owners'!$H$7*F17,0)</f>
        <v>516.129032258065</v>
      </c>
      <c r="X17" s="81" t="n">
        <f aca="false">IF(C17='W Budget &amp; Owners'!$I$7,'W Budget &amp; Owners'!$G$7*'W Sites'!$G$7,0)</f>
        <v>0</v>
      </c>
      <c r="Y17" s="112" t="n">
        <f aca="false">IF(SUM($G$16:$G$25)=0,0,'W Fees &amp; KPI'!$Q$7*G17/SUM($G$16:$G$25))</f>
        <v>1692.21179038633</v>
      </c>
      <c r="Z17" s="119" t="n">
        <f aca="false">IF(SUM($G$16:$G$25)=0,0,SUM('W Fees &amp; KPI'!$J$7,'W Fees &amp; KPI'!$M$7)*G17/SUM($G$16:$G$25))</f>
        <v>7132.36363636364</v>
      </c>
      <c r="AA17" s="117" t="n">
        <f aca="false">T17-U17-Z17-Y17</f>
        <v>-11628.6842626546</v>
      </c>
      <c r="AB17" s="119" t="n">
        <f aca="false">IF('W Fees &amp; KPI'!$D$7=0,0,T17-U17-Z17)</f>
        <v>-9936.47247226827</v>
      </c>
    </row>
    <row r="18" customFormat="false" ht="21" hidden="false" customHeight="true" outlineLevel="0" collapsed="false">
      <c r="C18" s="144" t="n">
        <f aca="false">46296</f>
        <v>46296</v>
      </c>
      <c r="D18" s="81" t="n">
        <f aca="false">1</f>
        <v>1</v>
      </c>
      <c r="E18" s="81" t="str">
        <f aca="false">'W Sites'!C8</f>
        <v>S03</v>
      </c>
      <c r="F18" s="145" t="n">
        <f aca="false">'W Sites'!$G$8*MAX(0,EOMONTH(C18,0)-MAX(C18,'W Sites'!$F$8)+1)/DAY(EOMONTH(C18,0))</f>
        <v>0</v>
      </c>
      <c r="G18" s="145" t="n">
        <f aca="false">'W Sites'!$G$8*MAX(0,EOMONTH(C18,0)-MAX(C18,'W Sites'!$F$8,'W Assumptions'!$D$58)+1)/DAY(EOMONTH(C18,0))</f>
        <v>0</v>
      </c>
      <c r="H18" s="81" t="n">
        <f aca="false">'W Sites'!$H$8*F18*'W Sites'!$I$8*IF(((YEAR(C18)-YEAR('W Sites'!$F$8))*12+MONTH(C18)-MONTH('W Sites'!$F$8))=0,'W Assumptions'!$D$62,IF(((YEAR(C18)-YEAR('W Sites'!$F$8))*12+MONTH(C18)-MONTH('W Sites'!$F$8))=1,'W Assumptions'!$D$63,1))*INDEX('W Assumptions'!$D$7:$F$7,1,D18)*INDEX('W Assumptions'!$D$32:$F$32,1,D18)*INDEX('W Assumptions'!$D$80:$D$91,MONTH(C18),1)/AVERAGE('W Assumptions'!$D$80:$D$91)</f>
        <v>0</v>
      </c>
      <c r="I18" s="81" t="n">
        <f aca="false">H18*'W Sites'!$J$8/(1+'W Assumptions'!$D$39)*INDEX('W Assumptions'!$D$12:$F$12,1,D18)*INDEX('W Assumptions'!$D$33:$F$33,1,D18)</f>
        <v>0</v>
      </c>
      <c r="J18" s="81" t="n">
        <f aca="false">H18*'W Sites'!$K$8/(1+'W Assumptions'!$D$39)*INDEX('W Assumptions'!$D$12:$F$12,1,D18)*INDEX('W Assumptions'!$D$33:$F$33,1,D18)</f>
        <v>0</v>
      </c>
      <c r="K18" s="81" t="n">
        <f aca="false">'W Sites'!$L$8*F18*IF(((YEAR(C18)-YEAR('W Sites'!$F$8))*12+MONTH(C18)-MONTH('W Sites'!$F$8))=0,'W Assumptions'!$D$62,IF(((YEAR(C18)-YEAR('W Sites'!$F$8))*12+MONTH(C18)-MONTH('W Sites'!$F$8))=1,'W Assumptions'!$D$63,1))*INDEX('W Assumptions'!$D$7:$F$7,1,D18)*INDEX('W Assumptions'!$D$32:$F$32,1,D18)</f>
        <v>0</v>
      </c>
      <c r="L18" s="81" t="n">
        <f aca="false">SUM(I18:K18)</f>
        <v>0</v>
      </c>
      <c r="M18" s="81" t="n">
        <f aca="false">'W Site Costs'!$I$8*F18*INDEX('W Assumptions'!$D$34:$F$34,1,D18)*INDEX('W Assumptions'!$D$22:$F$22,1,D18)</f>
        <v>0</v>
      </c>
      <c r="N18" s="81" t="n">
        <f aca="false">'W Site Costs'!$J$8*F18*INDEX('W Assumptions'!$D$35:$F$35,1,D18)*INDEX('W Assumptions'!$D$22:$F$22,1,D18)</f>
        <v>0</v>
      </c>
      <c r="O18" s="81" t="n">
        <f aca="false">L18*'W Site Costs'!$K$8</f>
        <v>0</v>
      </c>
      <c r="P18" s="81" t="n">
        <f aca="false">SUM('W Site Costs'!$L$8:$Q$8)*F18*INDEX('W Assumptions'!$D$35:$F$35,1,D18)*INDEX('W Assumptions'!$D$22:$F$22,1,D18)</f>
        <v>0</v>
      </c>
      <c r="Q18" s="81" t="n">
        <f aca="false">L18*'W Site Costs'!$R$8*INDEX('W Assumptions'!$D$17:$F$17,1,D18)</f>
        <v>0</v>
      </c>
      <c r="R18" s="112" t="n">
        <f aca="false">L18*'W Sites'!$M$8</f>
        <v>0</v>
      </c>
      <c r="S18" s="81" t="n">
        <f aca="false">SUM(M18:R18)</f>
        <v>0</v>
      </c>
      <c r="T18" s="81" t="n">
        <f aca="false">L18-S18</f>
        <v>0</v>
      </c>
      <c r="U18" s="81" t="n">
        <f aca="false">IF(C18='W Budget &amp; Owners'!$I$8,'W Budget &amp; Owners'!$F$8*'W Sites'!$G$8,0)</f>
        <v>0</v>
      </c>
      <c r="V18" s="81" t="n">
        <f aca="false">'W Sites'!$G$8*'W Budget &amp; Owners'!$E$8*INDEX('W Assumptions'!$D$27:$F$27,1,D18)*(IF(C18='W Budget &amp; Owners'!$I$8,'W Assumptions'!$D$65,0)+IF(C18=DATE(YEAR('W Sites'!$F$8),MONTH('W Sites'!$F$8),1),1-'W Assumptions'!$D$65,0))+'W Sites'!$G$8*'W Budget &amp; Owners'!$E$8*IF(C18=DATE(2027,9,1),'W Assumptions'!$D$67,IF(C18=DATE(2028,9,1),'W Assumptions'!$D$69,0))</f>
        <v>0</v>
      </c>
      <c r="W18" s="81" t="n">
        <f aca="false">IF(((YEAR(C18)-YEAR('W Sites'!$F$8))*12+MONTH(C18)-MONTH('W Sites'!$F$8))&lt;'W Budget &amp; Owners'!$H$8,'W Budget &amp; Owners'!$E$8/'W Budget &amp; Owners'!$H$8*F18,0)+IF(C18&gt;=DATE(2027,9,1),'W Budget &amp; Owners'!$E$8*'W Assumptions'!$D$67/'W Budget &amp; Owners'!$H$8*F18,0)+IF(C18&gt;=DATE(2028,9,1),'W Budget &amp; Owners'!$E$8*'W Assumptions'!$D$69/'W Budget &amp; Owners'!$H$8*F18,0)</f>
        <v>0</v>
      </c>
      <c r="X18" s="81" t="n">
        <f aca="false">IF(C18='W Budget &amp; Owners'!$I$8,'W Budget &amp; Owners'!$G$8*'W Sites'!$G$8,0)</f>
        <v>0</v>
      </c>
      <c r="Y18" s="112" t="n">
        <f aca="false">IF(SUM($G$16:$G$25)=0,0,'W Fees &amp; KPI'!$Q$7*G18/SUM($G$16:$G$25))</f>
        <v>0</v>
      </c>
      <c r="Z18" s="119" t="n">
        <f aca="false">IF(SUM($G$16:$G$25)=0,0,SUM('W Fees &amp; KPI'!$J$7,'W Fees &amp; KPI'!$M$7)*G18/SUM($G$16:$G$25))</f>
        <v>0</v>
      </c>
      <c r="AA18" s="117" t="n">
        <f aca="false">T18-U18-Z18-Y18</f>
        <v>0</v>
      </c>
      <c r="AB18" s="119" t="n">
        <f aca="false">IF('W Fees &amp; KPI'!$D$7=0,0,T18-U18-Z18)</f>
        <v>0</v>
      </c>
    </row>
    <row r="19" customFormat="false" ht="21" hidden="false" customHeight="true" outlineLevel="0" collapsed="false">
      <c r="C19" s="144" t="n">
        <f aca="false">46296</f>
        <v>46296</v>
      </c>
      <c r="D19" s="81" t="n">
        <f aca="false">1</f>
        <v>1</v>
      </c>
      <c r="E19" s="81" t="str">
        <f aca="false">'W Sites'!C9</f>
        <v>S04</v>
      </c>
      <c r="F19" s="145" t="n">
        <f aca="false">'W Sites'!$G$9*MAX(0,EOMONTH(C19,0)-MAX(C19,'W Sites'!$F$9)+1)/DAY(EOMONTH(C19,0))</f>
        <v>0</v>
      </c>
      <c r="G19" s="145" t="n">
        <f aca="false">'W Sites'!$G$9*MAX(0,EOMONTH(C19,0)-MAX(C19,'W Sites'!$F$9,'W Assumptions'!$D$58)+1)/DAY(EOMONTH(C19,0))</f>
        <v>0</v>
      </c>
      <c r="H19" s="81" t="n">
        <f aca="false">'W Sites'!$H$9*F19*'W Sites'!$I$9*IF(((YEAR(C19)-YEAR('W Sites'!$F$9))*12+MONTH(C19)-MONTH('W Sites'!$F$9))=0,'W Assumptions'!$D$62,IF(((YEAR(C19)-YEAR('W Sites'!$F$9))*12+MONTH(C19)-MONTH('W Sites'!$F$9))=1,'W Assumptions'!$D$63,1))*INDEX('W Assumptions'!$D$7:$F$7,1,D19)*INDEX('W Assumptions'!$D$32:$F$32,1,D19)*INDEX('W Assumptions'!$D$80:$D$91,MONTH(C19),1)/AVERAGE('W Assumptions'!$D$80:$D$91)</f>
        <v>0</v>
      </c>
      <c r="I19" s="81" t="n">
        <f aca="false">H19*'W Sites'!$J$9/(1+'W Assumptions'!$D$39)*INDEX('W Assumptions'!$D$12:$F$12,1,D19)*INDEX('W Assumptions'!$D$33:$F$33,1,D19)</f>
        <v>0</v>
      </c>
      <c r="J19" s="81" t="n">
        <f aca="false">H19*'W Sites'!$K$9/(1+'W Assumptions'!$D$39)*INDEX('W Assumptions'!$D$12:$F$12,1,D19)*INDEX('W Assumptions'!$D$33:$F$33,1,D19)</f>
        <v>0</v>
      </c>
      <c r="K19" s="81" t="n">
        <f aca="false">'W Sites'!$L$9*F19*IF(((YEAR(C19)-YEAR('W Sites'!$F$9))*12+MONTH(C19)-MONTH('W Sites'!$F$9))=0,'W Assumptions'!$D$62,IF(((YEAR(C19)-YEAR('W Sites'!$F$9))*12+MONTH(C19)-MONTH('W Sites'!$F$9))=1,'W Assumptions'!$D$63,1))*INDEX('W Assumptions'!$D$7:$F$7,1,D19)*INDEX('W Assumptions'!$D$32:$F$32,1,D19)</f>
        <v>0</v>
      </c>
      <c r="L19" s="81" t="n">
        <f aca="false">SUM(I19:K19)</f>
        <v>0</v>
      </c>
      <c r="M19" s="81" t="n">
        <f aca="false">'W Site Costs'!$I$9*F19*INDEX('W Assumptions'!$D$34:$F$34,1,D19)*INDEX('W Assumptions'!$D$22:$F$22,1,D19)</f>
        <v>0</v>
      </c>
      <c r="N19" s="81" t="n">
        <f aca="false">'W Site Costs'!$J$9*F19*INDEX('W Assumptions'!$D$35:$F$35,1,D19)*INDEX('W Assumptions'!$D$22:$F$22,1,D19)</f>
        <v>0</v>
      </c>
      <c r="O19" s="81" t="n">
        <f aca="false">L19*'W Site Costs'!$K$9</f>
        <v>0</v>
      </c>
      <c r="P19" s="81" t="n">
        <f aca="false">SUM('W Site Costs'!$L$9:$Q$9)*F19*INDEX('W Assumptions'!$D$35:$F$35,1,D19)*INDEX('W Assumptions'!$D$22:$F$22,1,D19)</f>
        <v>0</v>
      </c>
      <c r="Q19" s="81" t="n">
        <f aca="false">L19*'W Site Costs'!$R$9*INDEX('W Assumptions'!$D$17:$F$17,1,D19)</f>
        <v>0</v>
      </c>
      <c r="R19" s="112" t="n">
        <f aca="false">L19*'W Sites'!$M$9</f>
        <v>0</v>
      </c>
      <c r="S19" s="81" t="n">
        <f aca="false">SUM(M19:R19)</f>
        <v>0</v>
      </c>
      <c r="T19" s="81" t="n">
        <f aca="false">L19-S19</f>
        <v>0</v>
      </c>
      <c r="U19" s="81" t="n">
        <f aca="false">IF(C19='W Budget &amp; Owners'!$I$9,'W Budget &amp; Owners'!$F$9*'W Sites'!$G$9,0)</f>
        <v>25000</v>
      </c>
      <c r="V19" s="81" t="n">
        <f aca="false">'W Sites'!$G$9*'W Budget &amp; Owners'!$E$9*INDEX('W Assumptions'!$D$27:$F$27,1,D19)*(IF(C19='W Budget &amp; Owners'!$I$9,'W Assumptions'!$D$65,0)+IF(C19=DATE(YEAR('W Sites'!$F$9),MONTH('W Sites'!$F$9),1),1-'W Assumptions'!$D$65,0))+'W Sites'!$G$9*'W Budget &amp; Owners'!$E$9*IF(C19=DATE(2027,9,1),'W Assumptions'!$D$67,IF(C19=DATE(2028,9,1),'W Assumptions'!$D$69,0))</f>
        <v>300000</v>
      </c>
      <c r="W19" s="81" t="n">
        <f aca="false">IF(((YEAR(C19)-YEAR('W Sites'!$F$9))*12+MONTH(C19)-MONTH('W Sites'!$F$9))&lt;'W Budget &amp; Owners'!$H$9,'W Budget &amp; Owners'!$E$9/'W Budget &amp; Owners'!$H$9*F19,0)+IF(C19&gt;=DATE(2027,9,1),'W Budget &amp; Owners'!$E$9*'W Assumptions'!$D$67/'W Budget &amp; Owners'!$H$9*F19,0)+IF(C19&gt;=DATE(2028,9,1),'W Budget &amp; Owners'!$E$9*'W Assumptions'!$D$69/'W Budget &amp; Owners'!$H$9*F19,0)</f>
        <v>0</v>
      </c>
      <c r="X19" s="81" t="n">
        <f aca="false">IF(C19='W Budget &amp; Owners'!$I$9,'W Budget &amp; Owners'!$G$9*'W Sites'!$G$9,0)</f>
        <v>44000</v>
      </c>
      <c r="Y19" s="112" t="n">
        <f aca="false">IF(SUM($G$16:$G$25)=0,0,'W Fees &amp; KPI'!$Q$7*G19/SUM($G$16:$G$25))</f>
        <v>0</v>
      </c>
      <c r="Z19" s="119" t="n">
        <f aca="false">IF(SUM($G$16:$G$25)=0,0,SUM('W Fees &amp; KPI'!$J$7,'W Fees &amp; KPI'!$M$7)*G19/SUM($G$16:$G$25))</f>
        <v>0</v>
      </c>
      <c r="AA19" s="117" t="n">
        <f aca="false">T19-U19-Z19-Y19</f>
        <v>-25000</v>
      </c>
      <c r="AB19" s="119" t="n">
        <f aca="false">IF('W Fees &amp; KPI'!$D$7=0,0,T19-U19-Z19)</f>
        <v>-25000</v>
      </c>
    </row>
    <row r="20" customFormat="false" ht="21" hidden="false" customHeight="true" outlineLevel="0" collapsed="false">
      <c r="C20" s="144" t="n">
        <f aca="false">46296</f>
        <v>46296</v>
      </c>
      <c r="D20" s="81" t="n">
        <f aca="false">1</f>
        <v>1</v>
      </c>
      <c r="E20" s="81" t="str">
        <f aca="false">'W Sites'!C10</f>
        <v>S05</v>
      </c>
      <c r="F20" s="145" t="n">
        <f aca="false">'W Sites'!$G$10*MAX(0,EOMONTH(C20,0)-MAX(C20,'W Sites'!$F$10)+1)/DAY(EOMONTH(C20,0))</f>
        <v>0</v>
      </c>
      <c r="G20" s="145" t="n">
        <f aca="false">'W Sites'!$G$10*MAX(0,EOMONTH(C20,0)-MAX(C20,'W Sites'!$F$10,'W Assumptions'!$D$58)+1)/DAY(EOMONTH(C20,0))</f>
        <v>0</v>
      </c>
      <c r="H20" s="81" t="n">
        <f aca="false">'W Sites'!$H$10*F20*'W Sites'!$I$10*IF(((YEAR(C20)-YEAR('W Sites'!$F$10))*12+MONTH(C20)-MONTH('W Sites'!$F$10))=0,'W Assumptions'!$D$62,IF(((YEAR(C20)-YEAR('W Sites'!$F$10))*12+MONTH(C20)-MONTH('W Sites'!$F$10))=1,'W Assumptions'!$D$63,1))*INDEX('W Assumptions'!$D$7:$F$7,1,D20)*INDEX('W Assumptions'!$D$32:$F$32,1,D20)*INDEX('W Assumptions'!$D$80:$D$91,MONTH(C20),1)/AVERAGE('W Assumptions'!$D$80:$D$91)</f>
        <v>0</v>
      </c>
      <c r="I20" s="81" t="n">
        <f aca="false">H20*'W Sites'!$J$10/(1+'W Assumptions'!$D$39)*INDEX('W Assumptions'!$D$12:$F$12,1,D20)*INDEX('W Assumptions'!$D$33:$F$33,1,D20)</f>
        <v>0</v>
      </c>
      <c r="J20" s="81" t="n">
        <f aca="false">H20*'W Sites'!$K$10/(1+'W Assumptions'!$D$39)*INDEX('W Assumptions'!$D$12:$F$12,1,D20)*INDEX('W Assumptions'!$D$33:$F$33,1,D20)</f>
        <v>0</v>
      </c>
      <c r="K20" s="81" t="n">
        <f aca="false">'W Sites'!$L$10*F20*IF(((YEAR(C20)-YEAR('W Sites'!$F$10))*12+MONTH(C20)-MONTH('W Sites'!$F$10))=0,'W Assumptions'!$D$62,IF(((YEAR(C20)-YEAR('W Sites'!$F$10))*12+MONTH(C20)-MONTH('W Sites'!$F$10))=1,'W Assumptions'!$D$63,1))*INDEX('W Assumptions'!$D$7:$F$7,1,D20)*INDEX('W Assumptions'!$D$32:$F$32,1,D20)</f>
        <v>0</v>
      </c>
      <c r="L20" s="81" t="n">
        <f aca="false">SUM(I20:K20)</f>
        <v>0</v>
      </c>
      <c r="M20" s="81" t="n">
        <f aca="false">'W Site Costs'!$I$10*F20*INDEX('W Assumptions'!$D$34:$F$34,1,D20)*INDEX('W Assumptions'!$D$22:$F$22,1,D20)</f>
        <v>0</v>
      </c>
      <c r="N20" s="81" t="n">
        <f aca="false">'W Site Costs'!$J$10*F20*INDEX('W Assumptions'!$D$35:$F$35,1,D20)*INDEX('W Assumptions'!$D$22:$F$22,1,D20)</f>
        <v>0</v>
      </c>
      <c r="O20" s="81" t="n">
        <f aca="false">L20*'W Site Costs'!$K$10</f>
        <v>0</v>
      </c>
      <c r="P20" s="81" t="n">
        <f aca="false">SUM('W Site Costs'!$L$10:$Q$10)*F20*INDEX('W Assumptions'!$D$35:$F$35,1,D20)*INDEX('W Assumptions'!$D$22:$F$22,1,D20)</f>
        <v>0</v>
      </c>
      <c r="Q20" s="81" t="n">
        <f aca="false">L20*'W Site Costs'!$R$10*INDEX('W Assumptions'!$D$17:$F$17,1,D20)</f>
        <v>0</v>
      </c>
      <c r="R20" s="112" t="n">
        <f aca="false">L20*'W Sites'!$M$10</f>
        <v>0</v>
      </c>
      <c r="S20" s="81" t="n">
        <f aca="false">SUM(M20:R20)</f>
        <v>0</v>
      </c>
      <c r="T20" s="81" t="n">
        <f aca="false">L20-S20</f>
        <v>0</v>
      </c>
      <c r="U20" s="81" t="n">
        <f aca="false">IF(C20='W Budget &amp; Owners'!$I$10,'W Budget &amp; Owners'!$F$10*'W Sites'!$G$10,0)</f>
        <v>0</v>
      </c>
      <c r="V20" s="81" t="n">
        <f aca="false">'W Sites'!$G$10*'W Budget &amp; Owners'!$E$10*INDEX('W Assumptions'!$D$27:$F$27,1,D20)*(IF(C20='W Budget &amp; Owners'!$I$10,'W Assumptions'!$D$65,0)+IF(C20=DATE(YEAR('W Sites'!$F$10),MONTH('W Sites'!$F$10),1),1-'W Assumptions'!$D$65,0))+'W Sites'!$G$10*'W Budget &amp; Owners'!$E$10*IF(C20=DATE(2027,9,1),'W Assumptions'!$D$67,IF(C20=DATE(2028,9,1),'W Assumptions'!$D$69,0))</f>
        <v>0</v>
      </c>
      <c r="W20" s="81" t="n">
        <f aca="false">IF(((YEAR(C20)-YEAR('W Sites'!$F$10))*12+MONTH(C20)-MONTH('W Sites'!$F$10))&lt;'W Budget &amp; Owners'!$H$10,'W Budget &amp; Owners'!$E$10/'W Budget &amp; Owners'!$H$10*F20,0)+IF(C20&gt;=DATE(2027,9,1),'W Budget &amp; Owners'!$E$10*'W Assumptions'!$D$67/'W Budget &amp; Owners'!$H$10*F20,0)+IF(C20&gt;=DATE(2028,9,1),'W Budget &amp; Owners'!$E$10*'W Assumptions'!$D$69/'W Budget &amp; Owners'!$H$10*F20,0)</f>
        <v>0</v>
      </c>
      <c r="X20" s="81" t="n">
        <f aca="false">IF(C20='W Budget &amp; Owners'!$I$10,'W Budget &amp; Owners'!$G$10*'W Sites'!$G$10,0)</f>
        <v>0</v>
      </c>
      <c r="Y20" s="112" t="n">
        <f aca="false">IF(SUM($G$16:$G$25)=0,0,'W Fees &amp; KPI'!$Q$7*G20/SUM($G$16:$G$25))</f>
        <v>0</v>
      </c>
      <c r="Z20" s="119" t="n">
        <f aca="false">IF(SUM($G$16:$G$25)=0,0,SUM('W Fees &amp; KPI'!$J$7,'W Fees &amp; KPI'!$M$7)*G20/SUM($G$16:$G$25))</f>
        <v>0</v>
      </c>
      <c r="AA20" s="117" t="n">
        <f aca="false">T20-U20-Z20-Y20</f>
        <v>0</v>
      </c>
      <c r="AB20" s="119" t="n">
        <f aca="false">IF('W Fees &amp; KPI'!$D$7=0,0,T20-U20-Z20)</f>
        <v>0</v>
      </c>
    </row>
    <row r="21" customFormat="false" ht="21" hidden="false" customHeight="true" outlineLevel="0" collapsed="false">
      <c r="C21" s="144" t="n">
        <f aca="false">46296</f>
        <v>46296</v>
      </c>
      <c r="D21" s="81" t="n">
        <f aca="false">1</f>
        <v>1</v>
      </c>
      <c r="E21" s="81" t="str">
        <f aca="false">'W Sites'!C11</f>
        <v>S06</v>
      </c>
      <c r="F21" s="145" t="n">
        <f aca="false">'W Sites'!$G$11*MAX(0,EOMONTH(C21,0)-MAX(C21,'W Sites'!$F$11)+1)/DAY(EOMONTH(C21,0))</f>
        <v>0.387096774193548</v>
      </c>
      <c r="G21" s="145" t="n">
        <f aca="false">'W Sites'!$G$11*MAX(0,EOMONTH(C21,0)-MAX(C21,'W Sites'!$F$11,'W Assumptions'!$D$58)+1)/DAY(EOMONTH(C21,0))</f>
        <v>0.387096774193548</v>
      </c>
      <c r="H21" s="81" t="n">
        <f aca="false">'W Sites'!$H$11*F21*'W Sites'!$I$11*IF(((YEAR(C21)-YEAR('W Sites'!$F$11))*12+MONTH(C21)-MONTH('W Sites'!$F$11))=0,'W Assumptions'!$D$62,IF(((YEAR(C21)-YEAR('W Sites'!$F$11))*12+MONTH(C21)-MONTH('W Sites'!$F$11))=1,'W Assumptions'!$D$63,1))*INDEX('W Assumptions'!$D$7:$F$7,1,D21)*INDEX('W Assumptions'!$D$32:$F$32,1,D21)*INDEX('W Assumptions'!$D$80:$D$91,MONTH(C21),1)/AVERAGE('W Assumptions'!$D$80:$D$91)</f>
        <v>190.21935483871</v>
      </c>
      <c r="I21" s="81" t="n">
        <f aca="false">H21*'W Sites'!$J$11/(1+'W Assumptions'!$D$39)*INDEX('W Assumptions'!$D$12:$F$12,1,D21)*INDEX('W Assumptions'!$D$33:$F$33,1,D21)</f>
        <v>9924.48807854138</v>
      </c>
      <c r="J21" s="81" t="n">
        <f aca="false">H21*'W Sites'!$K$11/(1+'W Assumptions'!$D$39)*INDEX('W Assumptions'!$D$12:$F$12,1,D21)*INDEX('W Assumptions'!$D$33:$F$33,1,D21)</f>
        <v>496.224403927069</v>
      </c>
      <c r="K21" s="81" t="n">
        <f aca="false">'W Sites'!$L$11*F21*IF(((YEAR(C21)-YEAR('W Sites'!$F$11))*12+MONTH(C21)-MONTH('W Sites'!$F$11))=0,'W Assumptions'!$D$62,IF(((YEAR(C21)-YEAR('W Sites'!$F$11))*12+MONTH(C21)-MONTH('W Sites'!$F$11))=1,'W Assumptions'!$D$63,1))*INDEX('W Assumptions'!$D$7:$F$7,1,D21)*INDEX('W Assumptions'!$D$32:$F$32,1,D21)</f>
        <v>4645.16129032258</v>
      </c>
      <c r="L21" s="81" t="n">
        <f aca="false">SUM(I21:K21)</f>
        <v>15065.873772791</v>
      </c>
      <c r="M21" s="81" t="n">
        <f aca="false">'W Site Costs'!$I$11*F21*INDEX('W Assumptions'!$D$34:$F$34,1,D21)*INDEX('W Assumptions'!$D$22:$F$22,1,D21)</f>
        <v>9226.83870967742</v>
      </c>
      <c r="N21" s="81" t="n">
        <f aca="false">'W Site Costs'!$J$11*F21*INDEX('W Assumptions'!$D$35:$F$35,1,D21)*INDEX('W Assumptions'!$D$22:$F$22,1,D21)</f>
        <v>1935.48387096774</v>
      </c>
      <c r="O21" s="81" t="n">
        <f aca="false">L21*'W Site Costs'!$K$11</f>
        <v>0</v>
      </c>
      <c r="P21" s="81" t="n">
        <f aca="false">SUM('W Site Costs'!$L$11:$Q$11)*F21*INDEX('W Assumptions'!$D$35:$F$35,1,D21)*INDEX('W Assumptions'!$D$22:$F$22,1,D21)</f>
        <v>3096.77419354839</v>
      </c>
      <c r="Q21" s="81" t="n">
        <f aca="false">L21*'W Site Costs'!$R$11*INDEX('W Assumptions'!$D$17:$F$17,1,D21)</f>
        <v>1506.5873772791</v>
      </c>
      <c r="R21" s="112" t="n">
        <f aca="false">L21*'W Sites'!$M$11</f>
        <v>0</v>
      </c>
      <c r="S21" s="81" t="n">
        <f aca="false">SUM(M21:R21)</f>
        <v>15765.6841514727</v>
      </c>
      <c r="T21" s="81" t="n">
        <f aca="false">L21-S21</f>
        <v>-699.810378681626</v>
      </c>
      <c r="U21" s="81" t="n">
        <f aca="false">IF(C21='W Budget &amp; Owners'!$I$11,'W Budget &amp; Owners'!$F$11*'W Sites'!$G$11,0)</f>
        <v>0</v>
      </c>
      <c r="V21" s="81" t="n">
        <f aca="false">'W Sites'!$G$11*'W Budget &amp; Owners'!$E$11*INDEX('W Assumptions'!$D$27:$F$27,1,D21)*(IF(C21='W Budget &amp; Owners'!$I$11,'W Assumptions'!$D$65,0)+IF(C21=DATE(YEAR('W Sites'!$F$11),MONTH('W Sites'!$F$11),1),1-'W Assumptions'!$D$65,0))+'W Sites'!$G$11*'W Budget &amp; Owners'!$E$11*IF(C21=DATE(2027,9,1),'W Assumptions'!$D$67,IF(C21=DATE(2028,9,1),'W Assumptions'!$D$69,0))</f>
        <v>60000</v>
      </c>
      <c r="W21" s="81" t="n">
        <f aca="false">IF(((YEAR(C21)-YEAR('W Sites'!$F$11))*12+MONTH(C21)-MONTH('W Sites'!$F$11))&lt;'W Budget &amp; Owners'!$H$11,'W Budget &amp; Owners'!$E$11/'W Budget &amp; Owners'!$H$11*F21,0)+IF(C21&gt;=DATE(2027,9,1),'W Budget &amp; Owners'!$E$11*'W Assumptions'!$D$67/'W Budget &amp; Owners'!$H$11*F21,0)+IF(C21&gt;=DATE(2028,9,1),'W Budget &amp; Owners'!$E$11*'W Assumptions'!$D$69/'W Budget &amp; Owners'!$H$11*F21,0)</f>
        <v>967.741935483871</v>
      </c>
      <c r="X21" s="81" t="n">
        <f aca="false">IF(C21='W Budget &amp; Owners'!$I$11,'W Budget &amp; Owners'!$G$11*'W Sites'!$G$11,0)</f>
        <v>0</v>
      </c>
      <c r="Y21" s="112" t="n">
        <f aca="false">IF(SUM($G$16:$G$25)=0,0,'W Fees &amp; KPI'!$Q$7*G21/SUM($G$16:$G$25))</f>
        <v>1692.21179038633</v>
      </c>
      <c r="Z21" s="119" t="n">
        <f aca="false">IF(SUM($G$16:$G$25)=0,0,SUM('W Fees &amp; KPI'!$J$7,'W Fees &amp; KPI'!$M$7)*G21/SUM($G$16:$G$25))</f>
        <v>7132.36363636364</v>
      </c>
      <c r="AA21" s="117" t="n">
        <f aca="false">T21-U21-Z21-Y21</f>
        <v>-9524.38580543159</v>
      </c>
      <c r="AB21" s="119" t="n">
        <f aca="false">IF('W Fees &amp; KPI'!$D$7=0,0,T21-U21-Z21)</f>
        <v>-7832.17401504526</v>
      </c>
    </row>
    <row r="22" customFormat="false" ht="21" hidden="false" customHeight="true" outlineLevel="0" collapsed="false">
      <c r="C22" s="144" t="n">
        <f aca="false">46296</f>
        <v>46296</v>
      </c>
      <c r="D22" s="81" t="n">
        <f aca="false">1</f>
        <v>1</v>
      </c>
      <c r="E22" s="81" t="str">
        <f aca="false">'W Sites'!C12</f>
        <v>S07</v>
      </c>
      <c r="F22" s="145" t="n">
        <f aca="false">'W Sites'!$G$12*MAX(0,EOMONTH(C22,0)-MAX(C22,'W Sites'!$F$12)+1)/DAY(EOMONTH(C22,0))</f>
        <v>0</v>
      </c>
      <c r="G22" s="145" t="n">
        <f aca="false">'W Sites'!$G$12*MAX(0,EOMONTH(C22,0)-MAX(C22,'W Sites'!$F$12,'W Assumptions'!$D$58)+1)/DAY(EOMONTH(C22,0))</f>
        <v>0</v>
      </c>
      <c r="H22" s="81" t="n">
        <f aca="false">'W Sites'!$H$12*F22*'W Sites'!$I$12*IF(((YEAR(C22)-YEAR('W Sites'!$F$12))*12+MONTH(C22)-MONTH('W Sites'!$F$12))=0,'W Assumptions'!$D$62,IF(((YEAR(C22)-YEAR('W Sites'!$F$12))*12+MONTH(C22)-MONTH('W Sites'!$F$12))=1,'W Assumptions'!$D$63,1))*INDEX('W Assumptions'!$D$7:$F$7,1,D22)*INDEX('W Assumptions'!$D$32:$F$32,1,D22)*INDEX('W Assumptions'!$D$80:$D$91,MONTH(C22),1)/AVERAGE('W Assumptions'!$D$80:$D$91)</f>
        <v>0</v>
      </c>
      <c r="I22" s="81" t="n">
        <f aca="false">H22*'W Sites'!$J$12/(1+'W Assumptions'!$D$39)*INDEX('W Assumptions'!$D$12:$F$12,1,D22)*INDEX('W Assumptions'!$D$33:$F$33,1,D22)</f>
        <v>0</v>
      </c>
      <c r="J22" s="81" t="n">
        <f aca="false">H22*'W Sites'!$K$12/(1+'W Assumptions'!$D$39)*INDEX('W Assumptions'!$D$12:$F$12,1,D22)*INDEX('W Assumptions'!$D$33:$F$33,1,D22)</f>
        <v>0</v>
      </c>
      <c r="K22" s="81" t="n">
        <f aca="false">'W Sites'!$L$12*F22*IF(((YEAR(C22)-YEAR('W Sites'!$F$12))*12+MONTH(C22)-MONTH('W Sites'!$F$12))=0,'W Assumptions'!$D$62,IF(((YEAR(C22)-YEAR('W Sites'!$F$12))*12+MONTH(C22)-MONTH('W Sites'!$F$12))=1,'W Assumptions'!$D$63,1))*INDEX('W Assumptions'!$D$7:$F$7,1,D22)*INDEX('W Assumptions'!$D$32:$F$32,1,D22)</f>
        <v>0</v>
      </c>
      <c r="L22" s="81" t="n">
        <f aca="false">SUM(I22:K22)</f>
        <v>0</v>
      </c>
      <c r="M22" s="81" t="n">
        <f aca="false">'W Site Costs'!$I$12*F22*INDEX('W Assumptions'!$D$34:$F$34,1,D22)*INDEX('W Assumptions'!$D$22:$F$22,1,D22)</f>
        <v>0</v>
      </c>
      <c r="N22" s="81" t="n">
        <f aca="false">'W Site Costs'!$J$12*F22*INDEX('W Assumptions'!$D$35:$F$35,1,D22)*INDEX('W Assumptions'!$D$22:$F$22,1,D22)</f>
        <v>0</v>
      </c>
      <c r="O22" s="81" t="n">
        <f aca="false">L22*'W Site Costs'!$K$12</f>
        <v>0</v>
      </c>
      <c r="P22" s="81" t="n">
        <f aca="false">SUM('W Site Costs'!$L$12:$Q$12)*F22*INDEX('W Assumptions'!$D$35:$F$35,1,D22)*INDEX('W Assumptions'!$D$22:$F$22,1,D22)</f>
        <v>0</v>
      </c>
      <c r="Q22" s="81" t="n">
        <f aca="false">L22*'W Site Costs'!$R$12*INDEX('W Assumptions'!$D$17:$F$17,1,D22)</f>
        <v>0</v>
      </c>
      <c r="R22" s="112" t="n">
        <f aca="false">L22*'W Sites'!$M$12</f>
        <v>0</v>
      </c>
      <c r="S22" s="81" t="n">
        <f aca="false">SUM(M22:R22)</f>
        <v>0</v>
      </c>
      <c r="T22" s="81" t="n">
        <f aca="false">L22-S22</f>
        <v>0</v>
      </c>
      <c r="U22" s="81" t="n">
        <f aca="false">IF(C22='W Budget &amp; Owners'!$I$12,'W Budget &amp; Owners'!$F$12*'W Sites'!$G$12,0)</f>
        <v>0</v>
      </c>
      <c r="V22" s="81" t="n">
        <f aca="false">'W Sites'!$G$12*'W Budget &amp; Owners'!$E$12*INDEX('W Assumptions'!$D$27:$F$27,1,D22)*(IF(C22='W Budget &amp; Owners'!$I$12,'W Assumptions'!$D$65,0)+IF(C22=DATE(YEAR('W Sites'!$F$12),MONTH('W Sites'!$F$12),1),1-'W Assumptions'!$D$65,0))+'W Sites'!$G$12*'W Budget &amp; Owners'!$E$12*IF(C22=DATE(2027,9,1),'W Assumptions'!$D$67,IF(C22=DATE(2028,9,1),'W Assumptions'!$D$69,0))</f>
        <v>0</v>
      </c>
      <c r="W22" s="81" t="n">
        <f aca="false">IF(((YEAR(C22)-YEAR('W Sites'!$F$12))*12+MONTH(C22)-MONTH('W Sites'!$F$12))&lt;'W Budget &amp; Owners'!$H$12,'W Budget &amp; Owners'!$E$12/'W Budget &amp; Owners'!$H$12*F22,0)+IF(C22&gt;=DATE(2027,9,1),'W Budget &amp; Owners'!$E$12*'W Assumptions'!$D$67/'W Budget &amp; Owners'!$H$12*F22,0)+IF(C22&gt;=DATE(2028,9,1),'W Budget &amp; Owners'!$E$12*'W Assumptions'!$D$69/'W Budget &amp; Owners'!$H$12*F22,0)</f>
        <v>0</v>
      </c>
      <c r="X22" s="81" t="n">
        <f aca="false">IF(C22='W Budget &amp; Owners'!$I$12,'W Budget &amp; Owners'!$G$12*'W Sites'!$G$12,0)</f>
        <v>0</v>
      </c>
      <c r="Y22" s="112" t="n">
        <f aca="false">IF(SUM($G$16:$G$25)=0,0,'W Fees &amp; KPI'!$Q$7*G22/SUM($G$16:$G$25))</f>
        <v>0</v>
      </c>
      <c r="Z22" s="119" t="n">
        <f aca="false">IF(SUM($G$16:$G$25)=0,0,SUM('W Fees &amp; KPI'!$J$7,'W Fees &amp; KPI'!$M$7)*G22/SUM($G$16:$G$25))</f>
        <v>0</v>
      </c>
      <c r="AA22" s="117" t="n">
        <f aca="false">T22-U22-Z22-Y22</f>
        <v>0</v>
      </c>
      <c r="AB22" s="119" t="n">
        <f aca="false">IF('W Fees &amp; KPI'!$D$7=0,0,T22-U22-Z22)</f>
        <v>0</v>
      </c>
    </row>
    <row r="23" customFormat="false" ht="21" hidden="false" customHeight="true" outlineLevel="0" collapsed="false">
      <c r="C23" s="144" t="n">
        <f aca="false">46296</f>
        <v>46296</v>
      </c>
      <c r="D23" s="81" t="n">
        <f aca="false">1</f>
        <v>1</v>
      </c>
      <c r="E23" s="81" t="str">
        <f aca="false">'W Sites'!C13</f>
        <v>S08</v>
      </c>
      <c r="F23" s="145" t="n">
        <f aca="false">'W Sites'!$G$13*MAX(0,EOMONTH(C23,0)-MAX(C23,'W Sites'!$F$13)+1)/DAY(EOMONTH(C23,0))</f>
        <v>0</v>
      </c>
      <c r="G23" s="145" t="n">
        <f aca="false">'W Sites'!$G$13*MAX(0,EOMONTH(C23,0)-MAX(C23,'W Sites'!$F$13,'W Assumptions'!$D$58)+1)/DAY(EOMONTH(C23,0))</f>
        <v>0</v>
      </c>
      <c r="H23" s="81" t="n">
        <f aca="false">'W Sites'!$H$13*F23*'W Sites'!$I$13*IF(((YEAR(C23)-YEAR('W Sites'!$F$13))*12+MONTH(C23)-MONTH('W Sites'!$F$13))=0,'W Assumptions'!$D$62,IF(((YEAR(C23)-YEAR('W Sites'!$F$13))*12+MONTH(C23)-MONTH('W Sites'!$F$13))=1,'W Assumptions'!$D$63,1))*INDEX('W Assumptions'!$D$7:$F$7,1,D23)*INDEX('W Assumptions'!$D$32:$F$32,1,D23)*INDEX('W Assumptions'!$D$80:$D$91,MONTH(C23),1)/AVERAGE('W Assumptions'!$D$80:$D$91)</f>
        <v>0</v>
      </c>
      <c r="I23" s="81" t="n">
        <f aca="false">H23*'W Sites'!$J$13/(1+'W Assumptions'!$D$39)*INDEX('W Assumptions'!$D$12:$F$12,1,D23)*INDEX('W Assumptions'!$D$33:$F$33,1,D23)</f>
        <v>0</v>
      </c>
      <c r="J23" s="81" t="n">
        <f aca="false">H23*'W Sites'!$K$13/(1+'W Assumptions'!$D$39)*INDEX('W Assumptions'!$D$12:$F$12,1,D23)*INDEX('W Assumptions'!$D$33:$F$33,1,D23)</f>
        <v>0</v>
      </c>
      <c r="K23" s="81" t="n">
        <f aca="false">'W Sites'!$L$13*F23*IF(((YEAR(C23)-YEAR('W Sites'!$F$13))*12+MONTH(C23)-MONTH('W Sites'!$F$13))=0,'W Assumptions'!$D$62,IF(((YEAR(C23)-YEAR('W Sites'!$F$13))*12+MONTH(C23)-MONTH('W Sites'!$F$13))=1,'W Assumptions'!$D$63,1))*INDEX('W Assumptions'!$D$7:$F$7,1,D23)*INDEX('W Assumptions'!$D$32:$F$32,1,D23)</f>
        <v>0</v>
      </c>
      <c r="L23" s="81" t="n">
        <f aca="false">SUM(I23:K23)</f>
        <v>0</v>
      </c>
      <c r="M23" s="81" t="n">
        <f aca="false">'W Site Costs'!$I$13*F23*INDEX('W Assumptions'!$D$34:$F$34,1,D23)*INDEX('W Assumptions'!$D$22:$F$22,1,D23)</f>
        <v>0</v>
      </c>
      <c r="N23" s="81" t="n">
        <f aca="false">'W Site Costs'!$J$13*F23*INDEX('W Assumptions'!$D$35:$F$35,1,D23)*INDEX('W Assumptions'!$D$22:$F$22,1,D23)</f>
        <v>0</v>
      </c>
      <c r="O23" s="81" t="n">
        <f aca="false">L23*'W Site Costs'!$K$13</f>
        <v>0</v>
      </c>
      <c r="P23" s="81" t="n">
        <f aca="false">SUM('W Site Costs'!$L$13:$Q$13)*F23*INDEX('W Assumptions'!$D$35:$F$35,1,D23)*INDEX('W Assumptions'!$D$22:$F$22,1,D23)</f>
        <v>0</v>
      </c>
      <c r="Q23" s="81" t="n">
        <f aca="false">L23*'W Site Costs'!$R$13*INDEX('W Assumptions'!$D$17:$F$17,1,D23)</f>
        <v>0</v>
      </c>
      <c r="R23" s="112" t="n">
        <f aca="false">L23*'W Sites'!$M$13</f>
        <v>0</v>
      </c>
      <c r="S23" s="81" t="n">
        <f aca="false">SUM(M23:R23)</f>
        <v>0</v>
      </c>
      <c r="T23" s="81" t="n">
        <f aca="false">L23-S23</f>
        <v>0</v>
      </c>
      <c r="U23" s="81" t="n">
        <f aca="false">IF(C23='W Budget &amp; Owners'!$I$13,'W Budget &amp; Owners'!$F$13*'W Sites'!$G$13,0)</f>
        <v>0</v>
      </c>
      <c r="V23" s="81" t="n">
        <f aca="false">'W Sites'!$G$13*'W Budget &amp; Owners'!$E$13*INDEX('W Assumptions'!$D$27:$F$27,1,D23)*(IF(C23='W Budget &amp; Owners'!$I$13,'W Assumptions'!$D$65,0)+IF(C23=DATE(YEAR('W Sites'!$F$13),MONTH('W Sites'!$F$13),1),1-'W Assumptions'!$D$65,0))+'W Sites'!$G$13*'W Budget &amp; Owners'!$E$13*IF(C23=DATE(2027,9,1),'W Assumptions'!$D$67,IF(C23=DATE(2028,9,1),'W Assumptions'!$D$69,0))</f>
        <v>0</v>
      </c>
      <c r="W23" s="81" t="n">
        <f aca="false">IF(((YEAR(C23)-YEAR('W Sites'!$F$13))*12+MONTH(C23)-MONTH('W Sites'!$F$13))&lt;'W Budget &amp; Owners'!$H$13,'W Budget &amp; Owners'!$E$13/'W Budget &amp; Owners'!$H$13*F23,0)+IF(C23&gt;=DATE(2027,9,1),'W Budget &amp; Owners'!$E$13*'W Assumptions'!$D$67/'W Budget &amp; Owners'!$H$13*F23,0)+IF(C23&gt;=DATE(2028,9,1),'W Budget &amp; Owners'!$E$13*'W Assumptions'!$D$69/'W Budget &amp; Owners'!$H$13*F23,0)</f>
        <v>0</v>
      </c>
      <c r="X23" s="81" t="n">
        <f aca="false">IF(C23='W Budget &amp; Owners'!$I$13,'W Budget &amp; Owners'!$G$13*'W Sites'!$G$13,0)</f>
        <v>0</v>
      </c>
      <c r="Y23" s="112" t="n">
        <f aca="false">IF(SUM($G$16:$G$25)=0,0,'W Fees &amp; KPI'!$Q$7*G23/SUM($G$16:$G$25))</f>
        <v>0</v>
      </c>
      <c r="Z23" s="119" t="n">
        <f aca="false">IF(SUM($G$16:$G$25)=0,0,SUM('W Fees &amp; KPI'!$J$7,'W Fees &amp; KPI'!$M$7)*G23/SUM($G$16:$G$25))</f>
        <v>0</v>
      </c>
      <c r="AA23" s="117" t="n">
        <f aca="false">T23-U23-Z23-Y23</f>
        <v>0</v>
      </c>
      <c r="AB23" s="119" t="n">
        <f aca="false">IF('W Fees &amp; KPI'!$D$7=0,0,T23-U23-Z23)</f>
        <v>0</v>
      </c>
    </row>
    <row r="24" customFormat="false" ht="21" hidden="false" customHeight="true" outlineLevel="0" collapsed="false">
      <c r="C24" s="144" t="n">
        <f aca="false">46296</f>
        <v>46296</v>
      </c>
      <c r="D24" s="81" t="n">
        <f aca="false">1</f>
        <v>1</v>
      </c>
      <c r="E24" s="81" t="str">
        <f aca="false">'W Sites'!C14</f>
        <v>S09</v>
      </c>
      <c r="F24" s="145" t="n">
        <f aca="false">'W Sites'!$G$14*MAX(0,EOMONTH(C24,0)-MAX(C24,'W Sites'!$F$14)+1)/DAY(EOMONTH(C24,0))</f>
        <v>0</v>
      </c>
      <c r="G24" s="145" t="n">
        <f aca="false">'W Sites'!$G$14*MAX(0,EOMONTH(C24,0)-MAX(C24,'W Sites'!$F$14,'W Assumptions'!$D$58)+1)/DAY(EOMONTH(C24,0))</f>
        <v>0</v>
      </c>
      <c r="H24" s="81" t="n">
        <f aca="false">'W Sites'!$H$14*F24*'W Sites'!$I$14*IF(((YEAR(C24)-YEAR('W Sites'!$F$14))*12+MONTH(C24)-MONTH('W Sites'!$F$14))=0,'W Assumptions'!$D$62,IF(((YEAR(C24)-YEAR('W Sites'!$F$14))*12+MONTH(C24)-MONTH('W Sites'!$F$14))=1,'W Assumptions'!$D$63,1))*INDEX('W Assumptions'!$D$7:$F$7,1,D24)*INDEX('W Assumptions'!$D$32:$F$32,1,D24)*INDEX('W Assumptions'!$D$80:$D$91,MONTH(C24),1)/AVERAGE('W Assumptions'!$D$80:$D$91)</f>
        <v>0</v>
      </c>
      <c r="I24" s="81" t="n">
        <f aca="false">H24*'W Sites'!$J$14/(1+'W Assumptions'!$D$39)*INDEX('W Assumptions'!$D$12:$F$12,1,D24)*INDEX('W Assumptions'!$D$33:$F$33,1,D24)</f>
        <v>0</v>
      </c>
      <c r="J24" s="81" t="n">
        <f aca="false">H24*'W Sites'!$K$14/(1+'W Assumptions'!$D$39)*INDEX('W Assumptions'!$D$12:$F$12,1,D24)*INDEX('W Assumptions'!$D$33:$F$33,1,D24)</f>
        <v>0</v>
      </c>
      <c r="K24" s="81" t="n">
        <f aca="false">'W Sites'!$L$14*F24*IF(((YEAR(C24)-YEAR('W Sites'!$F$14))*12+MONTH(C24)-MONTH('W Sites'!$F$14))=0,'W Assumptions'!$D$62,IF(((YEAR(C24)-YEAR('W Sites'!$F$14))*12+MONTH(C24)-MONTH('W Sites'!$F$14))=1,'W Assumptions'!$D$63,1))*INDEX('W Assumptions'!$D$7:$F$7,1,D24)*INDEX('W Assumptions'!$D$32:$F$32,1,D24)</f>
        <v>0</v>
      </c>
      <c r="L24" s="81" t="n">
        <f aca="false">SUM(I24:K24)</f>
        <v>0</v>
      </c>
      <c r="M24" s="81" t="n">
        <f aca="false">'W Site Costs'!$I$14*F24*INDEX('W Assumptions'!$D$34:$F$34,1,D24)*INDEX('W Assumptions'!$D$22:$F$22,1,D24)</f>
        <v>0</v>
      </c>
      <c r="N24" s="81" t="n">
        <f aca="false">'W Site Costs'!$J$14*F24*INDEX('W Assumptions'!$D$35:$F$35,1,D24)*INDEX('W Assumptions'!$D$22:$F$22,1,D24)</f>
        <v>0</v>
      </c>
      <c r="O24" s="81" t="n">
        <f aca="false">L24*'W Site Costs'!$K$14</f>
        <v>0</v>
      </c>
      <c r="P24" s="81" t="n">
        <f aca="false">SUM('W Site Costs'!$L$14:$Q$14)*F24*INDEX('W Assumptions'!$D$35:$F$35,1,D24)*INDEX('W Assumptions'!$D$22:$F$22,1,D24)</f>
        <v>0</v>
      </c>
      <c r="Q24" s="81" t="n">
        <f aca="false">L24*'W Site Costs'!$R$14*INDEX('W Assumptions'!$D$17:$F$17,1,D24)</f>
        <v>0</v>
      </c>
      <c r="R24" s="112" t="n">
        <f aca="false">L24*'W Sites'!$M$14</f>
        <v>0</v>
      </c>
      <c r="S24" s="81" t="n">
        <f aca="false">SUM(M24:R24)</f>
        <v>0</v>
      </c>
      <c r="T24" s="81" t="n">
        <f aca="false">L24-S24</f>
        <v>0</v>
      </c>
      <c r="U24" s="81" t="n">
        <f aca="false">IF(C24='W Budget &amp; Owners'!$I$14,'W Budget &amp; Owners'!$F$14*'W Sites'!$G$14,0)</f>
        <v>0</v>
      </c>
      <c r="V24" s="81" t="n">
        <f aca="false">'W Sites'!$G$14*'W Budget &amp; Owners'!$E$14*INDEX('W Assumptions'!$D$27:$F$27,1,D24)*(IF(C24='W Budget &amp; Owners'!$I$14,'W Assumptions'!$D$65,0)+IF(C24=DATE(YEAR('W Sites'!$F$14),MONTH('W Sites'!$F$14),1),1-'W Assumptions'!$D$65,0))+'W Sites'!$G$14*'W Budget &amp; Owners'!$E$14*IF(C24=DATE(2027,9,1),'W Assumptions'!$D$67,IF(C24=DATE(2028,9,1),'W Assumptions'!$D$69,0))</f>
        <v>0</v>
      </c>
      <c r="W24" s="81" t="n">
        <f aca="false">IF(((YEAR(C24)-YEAR('W Sites'!$F$14))*12+MONTH(C24)-MONTH('W Sites'!$F$14))&lt;'W Budget &amp; Owners'!$H$14,'W Budget &amp; Owners'!$E$14/'W Budget &amp; Owners'!$H$14*F24,0)+IF(C24&gt;=DATE(2027,9,1),'W Budget &amp; Owners'!$E$14*'W Assumptions'!$D$67/'W Budget &amp; Owners'!$H$14*F24,0)+IF(C24&gt;=DATE(2028,9,1),'W Budget &amp; Owners'!$E$14*'W Assumptions'!$D$69/'W Budget &amp; Owners'!$H$14*F24,0)</f>
        <v>0</v>
      </c>
      <c r="X24" s="81" t="n">
        <f aca="false">IF(C24='W Budget &amp; Owners'!$I$14,'W Budget &amp; Owners'!$G$14*'W Sites'!$G$14,0)</f>
        <v>0</v>
      </c>
      <c r="Y24" s="112" t="n">
        <f aca="false">IF(SUM($G$16:$G$25)=0,0,'W Fees &amp; KPI'!$Q$7*G24/SUM($G$16:$G$25))</f>
        <v>0</v>
      </c>
      <c r="Z24" s="119" t="n">
        <f aca="false">IF(SUM($G$16:$G$25)=0,0,SUM('W Fees &amp; KPI'!$J$7,'W Fees &amp; KPI'!$M$7)*G24/SUM($G$16:$G$25))</f>
        <v>0</v>
      </c>
      <c r="AA24" s="117" t="n">
        <f aca="false">T24-U24-Z24-Y24</f>
        <v>0</v>
      </c>
      <c r="AB24" s="119" t="n">
        <f aca="false">IF('W Fees &amp; KPI'!$D$7=0,0,T24-U24-Z24)</f>
        <v>0</v>
      </c>
    </row>
    <row r="25" customFormat="false" ht="21" hidden="false" customHeight="true" outlineLevel="0" collapsed="false">
      <c r="C25" s="144" t="n">
        <f aca="false">46296</f>
        <v>46296</v>
      </c>
      <c r="D25" s="81" t="n">
        <f aca="false">1</f>
        <v>1</v>
      </c>
      <c r="E25" s="81" t="str">
        <f aca="false">'W Sites'!C15</f>
        <v>S10</v>
      </c>
      <c r="F25" s="145" t="n">
        <f aca="false">'W Sites'!$G$15*MAX(0,EOMONTH(C25,0)-MAX(C25,'W Sites'!$F$15)+1)/DAY(EOMONTH(C25,0))</f>
        <v>0</v>
      </c>
      <c r="G25" s="145" t="n">
        <f aca="false">'W Sites'!$G$15*MAX(0,EOMONTH(C25,0)-MAX(C25,'W Sites'!$F$15,'W Assumptions'!$D$58)+1)/DAY(EOMONTH(C25,0))</f>
        <v>0</v>
      </c>
      <c r="H25" s="81" t="n">
        <f aca="false">'W Sites'!$H$15*F25*'W Sites'!$I$15*IF(((YEAR(C25)-YEAR('W Sites'!$F$15))*12+MONTH(C25)-MONTH('W Sites'!$F$15))=0,'W Assumptions'!$D$62,IF(((YEAR(C25)-YEAR('W Sites'!$F$15))*12+MONTH(C25)-MONTH('W Sites'!$F$15))=1,'W Assumptions'!$D$63,1))*INDEX('W Assumptions'!$D$7:$F$7,1,D25)*INDEX('W Assumptions'!$D$32:$F$32,1,D25)*INDEX('W Assumptions'!$D$80:$D$91,MONTH(C25),1)/AVERAGE('W Assumptions'!$D$80:$D$91)</f>
        <v>0</v>
      </c>
      <c r="I25" s="81" t="n">
        <f aca="false">H25*'W Sites'!$J$15/(1+'W Assumptions'!$D$39)*INDEX('W Assumptions'!$D$12:$F$12,1,D25)*INDEX('W Assumptions'!$D$33:$F$33,1,D25)</f>
        <v>0</v>
      </c>
      <c r="J25" s="81" t="n">
        <f aca="false">H25*'W Sites'!$K$15/(1+'W Assumptions'!$D$39)*INDEX('W Assumptions'!$D$12:$F$12,1,D25)*INDEX('W Assumptions'!$D$33:$F$33,1,D25)</f>
        <v>0</v>
      </c>
      <c r="K25" s="81" t="n">
        <f aca="false">'W Sites'!$L$15*F25*IF(((YEAR(C25)-YEAR('W Sites'!$F$15))*12+MONTH(C25)-MONTH('W Sites'!$F$15))=0,'W Assumptions'!$D$62,IF(((YEAR(C25)-YEAR('W Sites'!$F$15))*12+MONTH(C25)-MONTH('W Sites'!$F$15))=1,'W Assumptions'!$D$63,1))*INDEX('W Assumptions'!$D$7:$F$7,1,D25)*INDEX('W Assumptions'!$D$32:$F$32,1,D25)</f>
        <v>0</v>
      </c>
      <c r="L25" s="81" t="n">
        <f aca="false">SUM(I25:K25)</f>
        <v>0</v>
      </c>
      <c r="M25" s="81" t="n">
        <f aca="false">'W Site Costs'!$I$15*F25*INDEX('W Assumptions'!$D$34:$F$34,1,D25)*INDEX('W Assumptions'!$D$22:$F$22,1,D25)</f>
        <v>0</v>
      </c>
      <c r="N25" s="81" t="n">
        <f aca="false">'W Site Costs'!$J$15*F25*INDEX('W Assumptions'!$D$35:$F$35,1,D25)*INDEX('W Assumptions'!$D$22:$F$22,1,D25)</f>
        <v>0</v>
      </c>
      <c r="O25" s="81" t="n">
        <f aca="false">L25*'W Site Costs'!$K$15</f>
        <v>0</v>
      </c>
      <c r="P25" s="81" t="n">
        <f aca="false">SUM('W Site Costs'!$L$15:$Q$15)*F25*INDEX('W Assumptions'!$D$35:$F$35,1,D25)*INDEX('W Assumptions'!$D$22:$F$22,1,D25)</f>
        <v>0</v>
      </c>
      <c r="Q25" s="81" t="n">
        <f aca="false">L25*'W Site Costs'!$R$15*INDEX('W Assumptions'!$D$17:$F$17,1,D25)</f>
        <v>0</v>
      </c>
      <c r="R25" s="112" t="n">
        <f aca="false">L25*'W Sites'!$M$15</f>
        <v>0</v>
      </c>
      <c r="S25" s="81" t="n">
        <f aca="false">SUM(M25:R25)</f>
        <v>0</v>
      </c>
      <c r="T25" s="81" t="n">
        <f aca="false">L25-S25</f>
        <v>0</v>
      </c>
      <c r="U25" s="81" t="n">
        <f aca="false">IF(C25='W Budget &amp; Owners'!$I$15,'W Budget &amp; Owners'!$F$15*'W Sites'!$G$15,0)</f>
        <v>0</v>
      </c>
      <c r="V25" s="81" t="n">
        <f aca="false">'W Sites'!$G$15*'W Budget &amp; Owners'!$E$15*INDEX('W Assumptions'!$D$27:$F$27,1,D25)*(IF(C25='W Budget &amp; Owners'!$I$15,'W Assumptions'!$D$65,0)+IF(C25=DATE(YEAR('W Sites'!$F$15),MONTH('W Sites'!$F$15),1),1-'W Assumptions'!$D$65,0))+'W Sites'!$G$15*'W Budget &amp; Owners'!$E$15*IF(C25=DATE(2027,9,1),'W Assumptions'!$D$67,IF(C25=DATE(2028,9,1),'W Assumptions'!$D$69,0))</f>
        <v>0</v>
      </c>
      <c r="W25" s="81" t="n">
        <f aca="false">IF(((YEAR(C25)-YEAR('W Sites'!$F$15))*12+MONTH(C25)-MONTH('W Sites'!$F$15))&lt;'W Budget &amp; Owners'!$H$15,'W Budget &amp; Owners'!$E$15/'W Budget &amp; Owners'!$H$15*F25,0)+IF(C25&gt;=DATE(2027,9,1),'W Budget &amp; Owners'!$E$15*'W Assumptions'!$D$67/'W Budget &amp; Owners'!$H$15*F25,0)+IF(C25&gt;=DATE(2028,9,1),'W Budget &amp; Owners'!$E$15*'W Assumptions'!$D$69/'W Budget &amp; Owners'!$H$15*F25,0)</f>
        <v>0</v>
      </c>
      <c r="X25" s="81" t="n">
        <f aca="false">IF(C25='W Budget &amp; Owners'!$I$15,'W Budget &amp; Owners'!$G$15*'W Sites'!$G$15,0)</f>
        <v>0</v>
      </c>
      <c r="Y25" s="112" t="n">
        <f aca="false">IF(SUM($G$16:$G$25)=0,0,'W Fees &amp; KPI'!$Q$7*G25/SUM($G$16:$G$25))</f>
        <v>0</v>
      </c>
      <c r="Z25" s="119" t="n">
        <f aca="false">IF(SUM($G$16:$G$25)=0,0,SUM('W Fees &amp; KPI'!$J$7,'W Fees &amp; KPI'!$M$7)*G25/SUM($G$16:$G$25))</f>
        <v>0</v>
      </c>
      <c r="AA25" s="117" t="n">
        <f aca="false">T25-U25-Z25-Y25</f>
        <v>0</v>
      </c>
      <c r="AB25" s="119" t="n">
        <f aca="false">IF('W Fees &amp; KPI'!$D$7=0,0,T25-U25-Z25)</f>
        <v>0</v>
      </c>
    </row>
    <row r="26" customFormat="false" ht="21" hidden="false" customHeight="true" outlineLevel="0" collapsed="false">
      <c r="C26" s="144" t="n">
        <f aca="false">46327</f>
        <v>46327</v>
      </c>
      <c r="D26" s="81" t="n">
        <f aca="false">1</f>
        <v>1</v>
      </c>
      <c r="E26" s="81" t="str">
        <f aca="false">'W Sites'!C6</f>
        <v>S01</v>
      </c>
      <c r="F26" s="145" t="n">
        <f aca="false">'W Sites'!$G$6*MAX(0,EOMONTH(C26,0)-MAX(C26,'W Sites'!$F$6)+1)/DAY(EOMONTH(C26,0))</f>
        <v>1</v>
      </c>
      <c r="G26" s="145" t="n">
        <f aca="false">'W Sites'!$G$6*MAX(0,EOMONTH(C26,0)-MAX(C26,'W Sites'!$F$6,'W Assumptions'!$D$58)+1)/DAY(EOMONTH(C26,0))</f>
        <v>1</v>
      </c>
      <c r="H26" s="81" t="n">
        <f aca="false">'W Sites'!$D$45*INDEX('W Sites'!$E$65:$E$76,MONTH(C26),1)/SUM('W Sites'!$E$65:$E$76)*F26*(1+'W Sites'!$D$56)^(D26-1)*INDEX('W Assumptions'!$D$7:$F$7,1,D26)</f>
        <v>3516</v>
      </c>
      <c r="I26" s="81" t="n">
        <f aca="false">H26*'W Sites'!$D$46/(1+'W Sites'!$D$54*'W Assumptions'!$D$39)*INDEX('W Assumptions'!$D$12:$F$12,1,D26)</f>
        <v>193380</v>
      </c>
      <c r="J26" s="81" t="n">
        <f aca="false">H26*SUM('W Sites'!$D$47:$D$49)/(1+'W Sites'!$D$54*'W Assumptions'!$D$39)*INDEX('W Assumptions'!$D$12:$F$12,1,D26)</f>
        <v>105480</v>
      </c>
      <c r="K26" s="81" t="n">
        <f aca="false">SUM('W Sites'!$D$50:$D$52)/12*F26*(1+'W Sites'!$D$56)^(D26-1)*INDEX('W Assumptions'!$D$7:$F$7,1,D26)*INDEX('W Assumptions'!$D$12:$F$12,1,D26)/(1+'W Sites'!$D$54*'W Assumptions'!$D$39)</f>
        <v>33333.3333333333</v>
      </c>
      <c r="L26" s="81" t="n">
        <f aca="false">SUM(I26:K26)</f>
        <v>332193.333333333</v>
      </c>
      <c r="M26" s="81" t="n">
        <f aca="false">('W Site Costs'!$I$6+INDEX('W Sites'!$F$65:$F$76,MONTH(C26),1)*'W Site Costs'!$V$6)*F26*(1+'W Sites'!$D$58)^(D26-1)*INDEX('W Assumptions'!$D$22:$F$22,1,D26)</f>
        <v>108500</v>
      </c>
      <c r="N26" s="81" t="n">
        <f aca="false">'W Site Costs'!$J$6*F26*INDEX('W Assumptions'!$D$35:$F$35,1,D26)*INDEX('W Assumptions'!$D$22:$F$22,1,D26)</f>
        <v>15000</v>
      </c>
      <c r="O26" s="81" t="n">
        <f aca="false">L26*'W Site Costs'!$K$6</f>
        <v>0</v>
      </c>
      <c r="P26" s="81" t="n">
        <f aca="false">(SUM('W Site Costs'!$L$6:$Q$6)+INDEX('W Sites'!$F$65:$F$76,MONTH(C26),1)*'W Site Costs'!$W$6)*F26*(1+'W Sites'!$D$58)^(D26-1)*INDEX('W Assumptions'!$D$22:$F$22,1,D26)</f>
        <v>74000</v>
      </c>
      <c r="Q26" s="81" t="n">
        <f aca="false">('W Site Costs'!$X$6+INDEX('W Sites'!$F$65:$F$76,MONTH(C26),1)*'W Site Costs'!$Y$6)*F26*(1+'W Sites'!$D$58)^(D26-1)*INDEX('W Assumptions'!$D$17:$F$17,1,D26)</f>
        <v>18000</v>
      </c>
      <c r="R26" s="112" t="n">
        <f aca="false">L26*'W Sites'!$M$6</f>
        <v>0</v>
      </c>
      <c r="S26" s="81" t="n">
        <f aca="false">SUM(M26:R26)</f>
        <v>215500</v>
      </c>
      <c r="T26" s="81" t="n">
        <f aca="false">L26-S26</f>
        <v>116693.333333333</v>
      </c>
      <c r="U26" s="81" t="n">
        <f aca="false">IF(C26='W Budget &amp; Owners'!$I$6,'W Budget &amp; Owners'!$F$6*'W Sites'!$G$6,0)</f>
        <v>0</v>
      </c>
      <c r="V26" s="81" t="n">
        <f aca="false">'W Sites'!$G$6*'W Budget &amp; Owners'!$E$6*INDEX('W Assumptions'!$D$27:$F$27,1,D26)*(IF(C26='W Budget &amp; Owners'!$I$6,'W Assumptions'!$D$65,0)+IF(C26=DATE(YEAR('W Sites'!$F$6),MONTH('W Sites'!$F$6),1),1-'W Assumptions'!$D$65,0))+'W Sites'!$G$6*'W Budget &amp; Owners'!$E$6*IF(C26=DATE(2027,9,1),'W Assumptions'!$D$67,IF(C26=DATE(2028,9,1),'W Assumptions'!$D$69,0))</f>
        <v>0</v>
      </c>
      <c r="W26" s="81" t="n">
        <f aca="false">IF(((YEAR(C26)-YEAR('W Sites'!$F$6))*12+MONTH(C26)-MONTH('W Sites'!$F$6))&lt;'W Budget &amp; Owners'!$H$6,'W Budget &amp; Owners'!$E$6/'W Budget &amp; Owners'!$H$6*F26,0)+IF(C26&gt;=DATE(2027,9,1),'W Budget &amp; Owners'!$E$6*'W Assumptions'!$D$67/'W Budget &amp; Owners'!$H$6*F26,0)+IF(C26&gt;=DATE(2028,9,1),'W Budget &amp; Owners'!$E$6*'W Assumptions'!$D$69/'W Budget &amp; Owners'!$H$6*F26,0)</f>
        <v>5833.33333333333</v>
      </c>
      <c r="X26" s="81" t="n">
        <f aca="false">IF(C26='W Budget &amp; Owners'!$I$6,'W Budget &amp; Owners'!$G$6*'W Sites'!$G$6,0)</f>
        <v>0</v>
      </c>
      <c r="Y26" s="112" t="n">
        <f aca="false">IF(SUM($G$26:$G$35)=0,0,'W Fees &amp; KPI'!$Q$8*G26/SUM($G$26:$G$35))</f>
        <v>1024.78310090238</v>
      </c>
      <c r="Z26" s="119" t="n">
        <f aca="false">IF(SUM($G$26:$G$35)=0,0,SUM('W Fees &amp; KPI'!$J$8,'W Fees &amp; KPI'!$M$8)*G26/SUM($G$26:$G$35))</f>
        <v>9251.88679245283</v>
      </c>
      <c r="AA26" s="117" t="n">
        <f aca="false">T26-U26-Z26-Y26</f>
        <v>106416.663439978</v>
      </c>
      <c r="AB26" s="119" t="n">
        <f aca="false">IF('W Fees &amp; KPI'!$D$8=0,0,T26-U26-Z26)</f>
        <v>107441.44654088</v>
      </c>
    </row>
    <row r="27" customFormat="false" ht="21" hidden="false" customHeight="true" outlineLevel="0" collapsed="false">
      <c r="C27" s="144" t="n">
        <f aca="false">46327</f>
        <v>46327</v>
      </c>
      <c r="D27" s="81" t="n">
        <f aca="false">1</f>
        <v>1</v>
      </c>
      <c r="E27" s="81" t="str">
        <f aca="false">'W Sites'!C7</f>
        <v>S02</v>
      </c>
      <c r="F27" s="145" t="n">
        <f aca="false">'W Sites'!$G$7*MAX(0,EOMONTH(C27,0)-MAX(C27,'W Sites'!$F$7)+1)/DAY(EOMONTH(C27,0))</f>
        <v>1</v>
      </c>
      <c r="G27" s="145" t="n">
        <f aca="false">'W Sites'!$G$7*MAX(0,EOMONTH(C27,0)-MAX(C27,'W Sites'!$F$7,'W Assumptions'!$D$58)+1)/DAY(EOMONTH(C27,0))</f>
        <v>1</v>
      </c>
      <c r="H27" s="81" t="n">
        <f aca="false">'W Sites'!$H$7*F27*'W Sites'!$I$7*IF(((YEAR(C27)-YEAR('W Sites'!$F$7))*12+MONTH(C27)-MONTH('W Sites'!$F$7))=0,'W Assumptions'!$D$62,IF(((YEAR(C27)-YEAR('W Sites'!$F$7))*12+MONTH(C27)-MONTH('W Sites'!$F$7))=1,'W Assumptions'!$D$63,1))*INDEX('W Assumptions'!$D$7:$F$7,1,D27)*INDEX('W Assumptions'!$D$32:$F$32,1,D27)*INDEX('W Assumptions'!$D$80:$D$91,MONTH(C27),1)/AVERAGE('W Assumptions'!$D$80:$D$91)</f>
        <v>1848</v>
      </c>
      <c r="I27" s="81" t="n">
        <f aca="false">H27*'W Sites'!$J$7/(1+'W Assumptions'!$D$39)*INDEX('W Assumptions'!$D$12:$F$12,1,D27)*INDEX('W Assumptions'!$D$33:$F$33,1,D27)</f>
        <v>56243.4782608696</v>
      </c>
      <c r="J27" s="81" t="n">
        <f aca="false">H27*'W Sites'!$K$7/(1+'W Assumptions'!$D$39)*INDEX('W Assumptions'!$D$12:$F$12,1,D27)*INDEX('W Assumptions'!$D$33:$F$33,1,D27)</f>
        <v>4820.86956521739</v>
      </c>
      <c r="K27" s="81" t="n">
        <f aca="false">'W Sites'!$L$7*F27*IF(((YEAR(C27)-YEAR('W Sites'!$F$7))*12+MONTH(C27)-MONTH('W Sites'!$F$7))=0,'W Assumptions'!$D$62,IF(((YEAR(C27)-YEAR('W Sites'!$F$7))*12+MONTH(C27)-MONTH('W Sites'!$F$7))=1,'W Assumptions'!$D$63,1))*INDEX('W Assumptions'!$D$7:$F$7,1,D27)*INDEX('W Assumptions'!$D$32:$F$32,1,D27)</f>
        <v>4000</v>
      </c>
      <c r="L27" s="81" t="n">
        <f aca="false">SUM(I27:K27)</f>
        <v>65064.347826087</v>
      </c>
      <c r="M27" s="81" t="n">
        <f aca="false">'W Site Costs'!$I$7*F27*INDEX('W Assumptions'!$D$34:$F$34,1,D27)*INDEX('W Assumptions'!$D$22:$F$22,1,D27)</f>
        <v>32450</v>
      </c>
      <c r="N27" s="81" t="n">
        <f aca="false">'W Site Costs'!$J$7*F27*INDEX('W Assumptions'!$D$35:$F$35,1,D27)*INDEX('W Assumptions'!$D$22:$F$22,1,D27)</f>
        <v>0</v>
      </c>
      <c r="O27" s="81" t="n">
        <f aca="false">L27*'W Site Costs'!$K$7</f>
        <v>9759.65217391304</v>
      </c>
      <c r="P27" s="81" t="n">
        <f aca="false">SUM('W Site Costs'!$L$7:$Q$7)*F27*INDEX('W Assumptions'!$D$35:$F$35,1,D27)*INDEX('W Assumptions'!$D$22:$F$22,1,D27)</f>
        <v>11700</v>
      </c>
      <c r="Q27" s="81" t="n">
        <f aca="false">L27*'W Site Costs'!$R$7*INDEX('W Assumptions'!$D$17:$F$17,1,D27)</f>
        <v>3903.86086956522</v>
      </c>
      <c r="R27" s="112" t="n">
        <f aca="false">L27*'W Sites'!$M$7</f>
        <v>0</v>
      </c>
      <c r="S27" s="81" t="n">
        <f aca="false">SUM(M27:R27)</f>
        <v>57813.5130434783</v>
      </c>
      <c r="T27" s="81" t="n">
        <f aca="false">L27-S27</f>
        <v>7250.83478260871</v>
      </c>
      <c r="U27" s="81" t="n">
        <f aca="false">IF(C27='W Budget &amp; Owners'!$I$7,'W Budget &amp; Owners'!$F$7*'W Sites'!$G$7,0)</f>
        <v>0</v>
      </c>
      <c r="V27" s="81" t="n">
        <f aca="false">'W Sites'!$G$7*'W Budget &amp; Owners'!$E$7*INDEX('W Assumptions'!$D$27:$F$27,1,D27)*(IF(C27='W Budget &amp; Owners'!$I$7,'W Assumptions'!$D$65,0)+IF(C27=DATE(YEAR('W Sites'!$F$7),MONTH('W Sites'!$F$7),1),1-'W Assumptions'!$D$65,0))+'W Sites'!$G$7*'W Budget &amp; Owners'!$E$7*IF(C27=DATE(2027,9,1),'W Assumptions'!$D$67,IF(C27=DATE(2028,9,1),'W Assumptions'!$D$69,0))</f>
        <v>0</v>
      </c>
      <c r="W27" s="81" t="n">
        <f aca="false">IF(((YEAR(C27)-YEAR('W Sites'!$F$7))*12+MONTH(C27)-MONTH('W Sites'!$F$7))&lt;'W Budget &amp; Owners'!$H$7,'W Budget &amp; Owners'!$E$7/'W Budget &amp; Owners'!$H$7*F27,0)+IF(C27&gt;=DATE(2027,9,1),'W Budget &amp; Owners'!$E$7*'W Assumptions'!$D$67/'W Budget &amp; Owners'!$H$7*F27,0)+IF(C27&gt;=DATE(2028,9,1),'W Budget &amp; Owners'!$E$7*'W Assumptions'!$D$69/'W Budget &amp; Owners'!$H$7*F27,0)</f>
        <v>1333.33333333333</v>
      </c>
      <c r="X27" s="81" t="n">
        <f aca="false">IF(C27='W Budget &amp; Owners'!$I$7,'W Budget &amp; Owners'!$G$7*'W Sites'!$G$7,0)</f>
        <v>0</v>
      </c>
      <c r="Y27" s="112" t="n">
        <f aca="false">IF(SUM($G$26:$G$35)=0,0,'W Fees &amp; KPI'!$Q$8*G27/SUM($G$26:$G$35))</f>
        <v>1024.78310090238</v>
      </c>
      <c r="Z27" s="119" t="n">
        <f aca="false">IF(SUM($G$26:$G$35)=0,0,SUM('W Fees &amp; KPI'!$J$8,'W Fees &amp; KPI'!$M$8)*G27/SUM($G$26:$G$35))</f>
        <v>9251.88679245283</v>
      </c>
      <c r="AA27" s="117" t="n">
        <f aca="false">T27-U27-Z27-Y27</f>
        <v>-3025.8351107465</v>
      </c>
      <c r="AB27" s="119" t="n">
        <f aca="false">IF('W Fees &amp; KPI'!$D$8=0,0,T27-U27-Z27)</f>
        <v>-2001.05200984412</v>
      </c>
    </row>
    <row r="28" customFormat="false" ht="21" hidden="false" customHeight="true" outlineLevel="0" collapsed="false">
      <c r="C28" s="144" t="n">
        <f aca="false">46327</f>
        <v>46327</v>
      </c>
      <c r="D28" s="81" t="n">
        <f aca="false">1</f>
        <v>1</v>
      </c>
      <c r="E28" s="81" t="str">
        <f aca="false">'W Sites'!C8</f>
        <v>S03</v>
      </c>
      <c r="F28" s="145" t="n">
        <f aca="false">'W Sites'!$G$8*MAX(0,EOMONTH(C28,0)-MAX(C28,'W Sites'!$F$8)+1)/DAY(EOMONTH(C28,0))</f>
        <v>0</v>
      </c>
      <c r="G28" s="145" t="n">
        <f aca="false">'W Sites'!$G$8*MAX(0,EOMONTH(C28,0)-MAX(C28,'W Sites'!$F$8,'W Assumptions'!$D$58)+1)/DAY(EOMONTH(C28,0))</f>
        <v>0</v>
      </c>
      <c r="H28" s="81" t="n">
        <f aca="false">'W Sites'!$H$8*F28*'W Sites'!$I$8*IF(((YEAR(C28)-YEAR('W Sites'!$F$8))*12+MONTH(C28)-MONTH('W Sites'!$F$8))=0,'W Assumptions'!$D$62,IF(((YEAR(C28)-YEAR('W Sites'!$F$8))*12+MONTH(C28)-MONTH('W Sites'!$F$8))=1,'W Assumptions'!$D$63,1))*INDEX('W Assumptions'!$D$7:$F$7,1,D28)*INDEX('W Assumptions'!$D$32:$F$32,1,D28)*INDEX('W Assumptions'!$D$80:$D$91,MONTH(C28),1)/AVERAGE('W Assumptions'!$D$80:$D$91)</f>
        <v>0</v>
      </c>
      <c r="I28" s="81" t="n">
        <f aca="false">H28*'W Sites'!$J$8/(1+'W Assumptions'!$D$39)*INDEX('W Assumptions'!$D$12:$F$12,1,D28)*INDEX('W Assumptions'!$D$33:$F$33,1,D28)</f>
        <v>0</v>
      </c>
      <c r="J28" s="81" t="n">
        <f aca="false">H28*'W Sites'!$K$8/(1+'W Assumptions'!$D$39)*INDEX('W Assumptions'!$D$12:$F$12,1,D28)*INDEX('W Assumptions'!$D$33:$F$33,1,D28)</f>
        <v>0</v>
      </c>
      <c r="K28" s="81" t="n">
        <f aca="false">'W Sites'!$L$8*F28*IF(((YEAR(C28)-YEAR('W Sites'!$F$8))*12+MONTH(C28)-MONTH('W Sites'!$F$8))=0,'W Assumptions'!$D$62,IF(((YEAR(C28)-YEAR('W Sites'!$F$8))*12+MONTH(C28)-MONTH('W Sites'!$F$8))=1,'W Assumptions'!$D$63,1))*INDEX('W Assumptions'!$D$7:$F$7,1,D28)*INDEX('W Assumptions'!$D$32:$F$32,1,D28)</f>
        <v>0</v>
      </c>
      <c r="L28" s="81" t="n">
        <f aca="false">SUM(I28:K28)</f>
        <v>0</v>
      </c>
      <c r="M28" s="81" t="n">
        <f aca="false">'W Site Costs'!$I$8*F28*INDEX('W Assumptions'!$D$34:$F$34,1,D28)*INDEX('W Assumptions'!$D$22:$F$22,1,D28)</f>
        <v>0</v>
      </c>
      <c r="N28" s="81" t="n">
        <f aca="false">'W Site Costs'!$J$8*F28*INDEX('W Assumptions'!$D$35:$F$35,1,D28)*INDEX('W Assumptions'!$D$22:$F$22,1,D28)</f>
        <v>0</v>
      </c>
      <c r="O28" s="81" t="n">
        <f aca="false">L28*'W Site Costs'!$K$8</f>
        <v>0</v>
      </c>
      <c r="P28" s="81" t="n">
        <f aca="false">SUM('W Site Costs'!$L$8:$Q$8)*F28*INDEX('W Assumptions'!$D$35:$F$35,1,D28)*INDEX('W Assumptions'!$D$22:$F$22,1,D28)</f>
        <v>0</v>
      </c>
      <c r="Q28" s="81" t="n">
        <f aca="false">L28*'W Site Costs'!$R$8*INDEX('W Assumptions'!$D$17:$F$17,1,D28)</f>
        <v>0</v>
      </c>
      <c r="R28" s="112" t="n">
        <f aca="false">L28*'W Sites'!$M$8</f>
        <v>0</v>
      </c>
      <c r="S28" s="81" t="n">
        <f aca="false">SUM(M28:R28)</f>
        <v>0</v>
      </c>
      <c r="T28" s="81" t="n">
        <f aca="false">L28-S28</f>
        <v>0</v>
      </c>
      <c r="U28" s="81" t="n">
        <f aca="false">IF(C28='W Budget &amp; Owners'!$I$8,'W Budget &amp; Owners'!$F$8*'W Sites'!$G$8,0)</f>
        <v>0</v>
      </c>
      <c r="V28" s="81" t="n">
        <f aca="false">'W Sites'!$G$8*'W Budget &amp; Owners'!$E$8*INDEX('W Assumptions'!$D$27:$F$27,1,D28)*(IF(C28='W Budget &amp; Owners'!$I$8,'W Assumptions'!$D$65,0)+IF(C28=DATE(YEAR('W Sites'!$F$8),MONTH('W Sites'!$F$8),1),1-'W Assumptions'!$D$65,0))+'W Sites'!$G$8*'W Budget &amp; Owners'!$E$8*IF(C28=DATE(2027,9,1),'W Assumptions'!$D$67,IF(C28=DATE(2028,9,1),'W Assumptions'!$D$69,0))</f>
        <v>0</v>
      </c>
      <c r="W28" s="81" t="n">
        <f aca="false">IF(((YEAR(C28)-YEAR('W Sites'!$F$8))*12+MONTH(C28)-MONTH('W Sites'!$F$8))&lt;'W Budget &amp; Owners'!$H$8,'W Budget &amp; Owners'!$E$8/'W Budget &amp; Owners'!$H$8*F28,0)+IF(C28&gt;=DATE(2027,9,1),'W Budget &amp; Owners'!$E$8*'W Assumptions'!$D$67/'W Budget &amp; Owners'!$H$8*F28,0)+IF(C28&gt;=DATE(2028,9,1),'W Budget &amp; Owners'!$E$8*'W Assumptions'!$D$69/'W Budget &amp; Owners'!$H$8*F28,0)</f>
        <v>0</v>
      </c>
      <c r="X28" s="81" t="n">
        <f aca="false">IF(C28='W Budget &amp; Owners'!$I$8,'W Budget &amp; Owners'!$G$8*'W Sites'!$G$8,0)</f>
        <v>0</v>
      </c>
      <c r="Y28" s="112" t="n">
        <f aca="false">IF(SUM($G$26:$G$35)=0,0,'W Fees &amp; KPI'!$Q$8*G28/SUM($G$26:$G$35))</f>
        <v>0</v>
      </c>
      <c r="Z28" s="119" t="n">
        <f aca="false">IF(SUM($G$26:$G$35)=0,0,SUM('W Fees &amp; KPI'!$J$8,'W Fees &amp; KPI'!$M$8)*G28/SUM($G$26:$G$35))</f>
        <v>0</v>
      </c>
      <c r="AA28" s="117" t="n">
        <f aca="false">T28-U28-Z28-Y28</f>
        <v>0</v>
      </c>
      <c r="AB28" s="119" t="n">
        <f aca="false">IF('W Fees &amp; KPI'!$D$8=0,0,T28-U28-Z28)</f>
        <v>0</v>
      </c>
    </row>
    <row r="29" customFormat="false" ht="21" hidden="false" customHeight="true" outlineLevel="0" collapsed="false">
      <c r="C29" s="144" t="n">
        <f aca="false">46327</f>
        <v>46327</v>
      </c>
      <c r="D29" s="81" t="n">
        <f aca="false">1</f>
        <v>1</v>
      </c>
      <c r="E29" s="81" t="str">
        <f aca="false">'W Sites'!C9</f>
        <v>S04</v>
      </c>
      <c r="F29" s="145" t="n">
        <f aca="false">'W Sites'!$G$9*MAX(0,EOMONTH(C29,0)-MAX(C29,'W Sites'!$F$9)+1)/DAY(EOMONTH(C29,0))</f>
        <v>0.533333333333333</v>
      </c>
      <c r="G29" s="145" t="n">
        <f aca="false">'W Sites'!$G$9*MAX(0,EOMONTH(C29,0)-MAX(C29,'W Sites'!$F$9,'W Assumptions'!$D$58)+1)/DAY(EOMONTH(C29,0))</f>
        <v>0.533333333333333</v>
      </c>
      <c r="H29" s="81" t="n">
        <f aca="false">'W Sites'!$H$9*F29*'W Sites'!$I$9*IF(((YEAR(C29)-YEAR('W Sites'!$F$9))*12+MONTH(C29)-MONTH('W Sites'!$F$9))=0,'W Assumptions'!$D$62,IF(((YEAR(C29)-YEAR('W Sites'!$F$9))*12+MONTH(C29)-MONTH('W Sites'!$F$9))=1,'W Assumptions'!$D$63,1))*INDEX('W Assumptions'!$D$7:$F$7,1,D29)*INDEX('W Assumptions'!$D$32:$F$32,1,D29)*INDEX('W Assumptions'!$D$80:$D$91,MONTH(C29),1)/AVERAGE('W Assumptions'!$D$80:$D$91)</f>
        <v>702.777777777778</v>
      </c>
      <c r="I29" s="81" t="n">
        <f aca="false">H29*'W Sites'!$J$9/(1+'W Assumptions'!$D$39)*INDEX('W Assumptions'!$D$12:$F$12,1,D29)*INDEX('W Assumptions'!$D$33:$F$33,1,D29)</f>
        <v>39722.2222222222</v>
      </c>
      <c r="J29" s="81" t="n">
        <f aca="false">H29*'W Sites'!$K$9/(1+'W Assumptions'!$D$39)*INDEX('W Assumptions'!$D$12:$F$12,1,D29)*INDEX('W Assumptions'!$D$33:$F$33,1,D29)</f>
        <v>4277.77777777778</v>
      </c>
      <c r="K29" s="81" t="n">
        <f aca="false">'W Sites'!$L$9*F29*IF(((YEAR(C29)-YEAR('W Sites'!$F$9))*12+MONTH(C29)-MONTH('W Sites'!$F$9))=0,'W Assumptions'!$D$62,IF(((YEAR(C29)-YEAR('W Sites'!$F$9))*12+MONTH(C29)-MONTH('W Sites'!$F$9))=1,'W Assumptions'!$D$63,1))*INDEX('W Assumptions'!$D$7:$F$7,1,D29)*INDEX('W Assumptions'!$D$32:$F$32,1,D29)</f>
        <v>4800</v>
      </c>
      <c r="L29" s="81" t="n">
        <f aca="false">SUM(I29:K29)</f>
        <v>48800</v>
      </c>
      <c r="M29" s="81" t="n">
        <f aca="false">'W Site Costs'!$I$9*F29*INDEX('W Assumptions'!$D$34:$F$34,1,D29)*INDEX('W Assumptions'!$D$22:$F$22,1,D29)</f>
        <v>20138.6666666667</v>
      </c>
      <c r="N29" s="81" t="n">
        <f aca="false">'W Site Costs'!$J$9*F29*INDEX('W Assumptions'!$D$35:$F$35,1,D29)*INDEX('W Assumptions'!$D$22:$F$22,1,D29)</f>
        <v>11733.3333333333</v>
      </c>
      <c r="O29" s="81" t="n">
        <f aca="false">L29*'W Site Costs'!$K$9</f>
        <v>0</v>
      </c>
      <c r="P29" s="81" t="n">
        <f aca="false">SUM('W Site Costs'!$L$9:$Q$9)*F29*INDEX('W Assumptions'!$D$35:$F$35,1,D29)*INDEX('W Assumptions'!$D$22:$F$22,1,D29)</f>
        <v>8266.66666666667</v>
      </c>
      <c r="Q29" s="81" t="n">
        <f aca="false">L29*'W Site Costs'!$R$9*INDEX('W Assumptions'!$D$17:$F$17,1,D29)</f>
        <v>3904</v>
      </c>
      <c r="R29" s="112" t="n">
        <f aca="false">L29*'W Sites'!$M$9</f>
        <v>0</v>
      </c>
      <c r="S29" s="81" t="n">
        <f aca="false">SUM(M29:R29)</f>
        <v>44042.6666666667</v>
      </c>
      <c r="T29" s="81" t="n">
        <f aca="false">L29-S29</f>
        <v>4757.33333333334</v>
      </c>
      <c r="U29" s="81" t="n">
        <f aca="false">IF(C29='W Budget &amp; Owners'!$I$9,'W Budget &amp; Owners'!$F$9*'W Sites'!$G$9,0)</f>
        <v>0</v>
      </c>
      <c r="V29" s="81" t="n">
        <f aca="false">'W Sites'!$G$9*'W Budget &amp; Owners'!$E$9*INDEX('W Assumptions'!$D$27:$F$27,1,D29)*(IF(C29='W Budget &amp; Owners'!$I$9,'W Assumptions'!$D$65,0)+IF(C29=DATE(YEAR('W Sites'!$F$9),MONTH('W Sites'!$F$9),1),1-'W Assumptions'!$D$65,0))+'W Sites'!$G$9*'W Budget &amp; Owners'!$E$9*IF(C29=DATE(2027,9,1),'W Assumptions'!$D$67,IF(C29=DATE(2028,9,1),'W Assumptions'!$D$69,0))</f>
        <v>200000</v>
      </c>
      <c r="W29" s="81" t="n">
        <f aca="false">IF(((YEAR(C29)-YEAR('W Sites'!$F$9))*12+MONTH(C29)-MONTH('W Sites'!$F$9))&lt;'W Budget &amp; Owners'!$H$9,'W Budget &amp; Owners'!$E$9/'W Budget &amp; Owners'!$H$9*F29,0)+IF(C29&gt;=DATE(2027,9,1),'W Budget &amp; Owners'!$E$9*'W Assumptions'!$D$67/'W Budget &amp; Owners'!$H$9*F29,0)+IF(C29&gt;=DATE(2028,9,1),'W Budget &amp; Owners'!$E$9*'W Assumptions'!$D$69/'W Budget &amp; Owners'!$H$9*F29,0)</f>
        <v>4444.44444444444</v>
      </c>
      <c r="X29" s="81" t="n">
        <f aca="false">IF(C29='W Budget &amp; Owners'!$I$9,'W Budget &amp; Owners'!$G$9*'W Sites'!$G$9,0)</f>
        <v>0</v>
      </c>
      <c r="Y29" s="112" t="n">
        <f aca="false">IF(SUM($G$26:$G$35)=0,0,'W Fees &amp; KPI'!$Q$8*G29/SUM($G$26:$G$35))</f>
        <v>546.550987147936</v>
      </c>
      <c r="Z29" s="119" t="n">
        <f aca="false">IF(SUM($G$26:$G$35)=0,0,SUM('W Fees &amp; KPI'!$J$8,'W Fees &amp; KPI'!$M$8)*G29/SUM($G$26:$G$35))</f>
        <v>4934.33962264151</v>
      </c>
      <c r="AA29" s="117" t="n">
        <f aca="false">T29-U29-Z29-Y29</f>
        <v>-723.55727645611</v>
      </c>
      <c r="AB29" s="119" t="n">
        <f aca="false">IF('W Fees &amp; KPI'!$D$8=0,0,T29-U29-Z29)</f>
        <v>-177.006289308174</v>
      </c>
    </row>
    <row r="30" customFormat="false" ht="21" hidden="false" customHeight="true" outlineLevel="0" collapsed="false">
      <c r="C30" s="144" t="n">
        <f aca="false">46327</f>
        <v>46327</v>
      </c>
      <c r="D30" s="81" t="n">
        <f aca="false">1</f>
        <v>1</v>
      </c>
      <c r="E30" s="81" t="str">
        <f aca="false">'W Sites'!C10</f>
        <v>S05</v>
      </c>
      <c r="F30" s="145" t="n">
        <f aca="false">'W Sites'!$G$10*MAX(0,EOMONTH(C30,0)-MAX(C30,'W Sites'!$F$10)+1)/DAY(EOMONTH(C30,0))</f>
        <v>0</v>
      </c>
      <c r="G30" s="145" t="n">
        <f aca="false">'W Sites'!$G$10*MAX(0,EOMONTH(C30,0)-MAX(C30,'W Sites'!$F$10,'W Assumptions'!$D$58)+1)/DAY(EOMONTH(C30,0))</f>
        <v>0</v>
      </c>
      <c r="H30" s="81" t="n">
        <f aca="false">'W Sites'!$H$10*F30*'W Sites'!$I$10*IF(((YEAR(C30)-YEAR('W Sites'!$F$10))*12+MONTH(C30)-MONTH('W Sites'!$F$10))=0,'W Assumptions'!$D$62,IF(((YEAR(C30)-YEAR('W Sites'!$F$10))*12+MONTH(C30)-MONTH('W Sites'!$F$10))=1,'W Assumptions'!$D$63,1))*INDEX('W Assumptions'!$D$7:$F$7,1,D30)*INDEX('W Assumptions'!$D$32:$F$32,1,D30)*INDEX('W Assumptions'!$D$80:$D$91,MONTH(C30),1)/AVERAGE('W Assumptions'!$D$80:$D$91)</f>
        <v>0</v>
      </c>
      <c r="I30" s="81" t="n">
        <f aca="false">H30*'W Sites'!$J$10/(1+'W Assumptions'!$D$39)*INDEX('W Assumptions'!$D$12:$F$12,1,D30)*INDEX('W Assumptions'!$D$33:$F$33,1,D30)</f>
        <v>0</v>
      </c>
      <c r="J30" s="81" t="n">
        <f aca="false">H30*'W Sites'!$K$10/(1+'W Assumptions'!$D$39)*INDEX('W Assumptions'!$D$12:$F$12,1,D30)*INDEX('W Assumptions'!$D$33:$F$33,1,D30)</f>
        <v>0</v>
      </c>
      <c r="K30" s="81" t="n">
        <f aca="false">'W Sites'!$L$10*F30*IF(((YEAR(C30)-YEAR('W Sites'!$F$10))*12+MONTH(C30)-MONTH('W Sites'!$F$10))=0,'W Assumptions'!$D$62,IF(((YEAR(C30)-YEAR('W Sites'!$F$10))*12+MONTH(C30)-MONTH('W Sites'!$F$10))=1,'W Assumptions'!$D$63,1))*INDEX('W Assumptions'!$D$7:$F$7,1,D30)*INDEX('W Assumptions'!$D$32:$F$32,1,D30)</f>
        <v>0</v>
      </c>
      <c r="L30" s="81" t="n">
        <f aca="false">SUM(I30:K30)</f>
        <v>0</v>
      </c>
      <c r="M30" s="81" t="n">
        <f aca="false">'W Site Costs'!$I$10*F30*INDEX('W Assumptions'!$D$34:$F$34,1,D30)*INDEX('W Assumptions'!$D$22:$F$22,1,D30)</f>
        <v>0</v>
      </c>
      <c r="N30" s="81" t="n">
        <f aca="false">'W Site Costs'!$J$10*F30*INDEX('W Assumptions'!$D$35:$F$35,1,D30)*INDEX('W Assumptions'!$D$22:$F$22,1,D30)</f>
        <v>0</v>
      </c>
      <c r="O30" s="81" t="n">
        <f aca="false">L30*'W Site Costs'!$K$10</f>
        <v>0</v>
      </c>
      <c r="P30" s="81" t="n">
        <f aca="false">SUM('W Site Costs'!$L$10:$Q$10)*F30*INDEX('W Assumptions'!$D$35:$F$35,1,D30)*INDEX('W Assumptions'!$D$22:$F$22,1,D30)</f>
        <v>0</v>
      </c>
      <c r="Q30" s="81" t="n">
        <f aca="false">L30*'W Site Costs'!$R$10*INDEX('W Assumptions'!$D$17:$F$17,1,D30)</f>
        <v>0</v>
      </c>
      <c r="R30" s="112" t="n">
        <f aca="false">L30*'W Sites'!$M$10</f>
        <v>0</v>
      </c>
      <c r="S30" s="81" t="n">
        <f aca="false">SUM(M30:R30)</f>
        <v>0</v>
      </c>
      <c r="T30" s="81" t="n">
        <f aca="false">L30-S30</f>
        <v>0</v>
      </c>
      <c r="U30" s="81" t="n">
        <f aca="false">IF(C30='W Budget &amp; Owners'!$I$10,'W Budget &amp; Owners'!$F$10*'W Sites'!$G$10,0)</f>
        <v>35000</v>
      </c>
      <c r="V30" s="81" t="n">
        <f aca="false">'W Sites'!$G$10*'W Budget &amp; Owners'!$E$10*INDEX('W Assumptions'!$D$27:$F$27,1,D30)*(IF(C30='W Budget &amp; Owners'!$I$10,'W Assumptions'!$D$65,0)+IF(C30=DATE(YEAR('W Sites'!$F$10),MONTH('W Sites'!$F$10),1),1-'W Assumptions'!$D$65,0))+'W Sites'!$G$10*'W Budget &amp; Owners'!$E$10*IF(C30=DATE(2027,9,1),'W Assumptions'!$D$67,IF(C30=DATE(2028,9,1),'W Assumptions'!$D$69,0))</f>
        <v>450000</v>
      </c>
      <c r="W30" s="81" t="n">
        <f aca="false">IF(((YEAR(C30)-YEAR('W Sites'!$F$10))*12+MONTH(C30)-MONTH('W Sites'!$F$10))&lt;'W Budget &amp; Owners'!$H$10,'W Budget &amp; Owners'!$E$10/'W Budget &amp; Owners'!$H$10*F30,0)+IF(C30&gt;=DATE(2027,9,1),'W Budget &amp; Owners'!$E$10*'W Assumptions'!$D$67/'W Budget &amp; Owners'!$H$10*F30,0)+IF(C30&gt;=DATE(2028,9,1),'W Budget &amp; Owners'!$E$10*'W Assumptions'!$D$69/'W Budget &amp; Owners'!$H$10*F30,0)</f>
        <v>0</v>
      </c>
      <c r="X30" s="81" t="n">
        <f aca="false">IF(C30='W Budget &amp; Owners'!$I$10,'W Budget &amp; Owners'!$G$10*'W Sites'!$G$10,0)</f>
        <v>60000</v>
      </c>
      <c r="Y30" s="112" t="n">
        <f aca="false">IF(SUM($G$26:$G$35)=0,0,'W Fees &amp; KPI'!$Q$8*G30/SUM($G$26:$G$35))</f>
        <v>0</v>
      </c>
      <c r="Z30" s="119" t="n">
        <f aca="false">IF(SUM($G$26:$G$35)=0,0,SUM('W Fees &amp; KPI'!$J$8,'W Fees &amp; KPI'!$M$8)*G30/SUM($G$26:$G$35))</f>
        <v>0</v>
      </c>
      <c r="AA30" s="117" t="n">
        <f aca="false">T30-U30-Z30-Y30</f>
        <v>-35000</v>
      </c>
      <c r="AB30" s="119" t="n">
        <f aca="false">IF('W Fees &amp; KPI'!$D$8=0,0,T30-U30-Z30)</f>
        <v>-35000</v>
      </c>
    </row>
    <row r="31" customFormat="false" ht="21" hidden="false" customHeight="true" outlineLevel="0" collapsed="false">
      <c r="C31" s="144" t="n">
        <f aca="false">46327</f>
        <v>46327</v>
      </c>
      <c r="D31" s="81" t="n">
        <f aca="false">1</f>
        <v>1</v>
      </c>
      <c r="E31" s="81" t="str">
        <f aca="false">'W Sites'!C11</f>
        <v>S06</v>
      </c>
      <c r="F31" s="145" t="n">
        <f aca="false">'W Sites'!$G$11*MAX(0,EOMONTH(C31,0)-MAX(C31,'W Sites'!$F$11)+1)/DAY(EOMONTH(C31,0))</f>
        <v>1</v>
      </c>
      <c r="G31" s="145" t="n">
        <f aca="false">'W Sites'!$G$11*MAX(0,EOMONTH(C31,0)-MAX(C31,'W Sites'!$F$11,'W Assumptions'!$D$58)+1)/DAY(EOMONTH(C31,0))</f>
        <v>1</v>
      </c>
      <c r="H31" s="81" t="n">
        <f aca="false">'W Sites'!$H$11*F31*'W Sites'!$I$11*IF(((YEAR(C31)-YEAR('W Sites'!$F$11))*12+MONTH(C31)-MONTH('W Sites'!$F$11))=0,'W Assumptions'!$D$62,IF(((YEAR(C31)-YEAR('W Sites'!$F$11))*12+MONTH(C31)-MONTH('W Sites'!$F$11))=1,'W Assumptions'!$D$63,1))*INDEX('W Assumptions'!$D$7:$F$7,1,D31)*INDEX('W Assumptions'!$D$32:$F$32,1,D31)*INDEX('W Assumptions'!$D$80:$D$91,MONTH(C31),1)/AVERAGE('W Assumptions'!$D$80:$D$91)</f>
        <v>686.4</v>
      </c>
      <c r="I31" s="81" t="n">
        <f aca="false">H31*'W Sites'!$J$11/(1+'W Assumptions'!$D$39)*INDEX('W Assumptions'!$D$12:$F$12,1,D31)*INDEX('W Assumptions'!$D$33:$F$33,1,D31)</f>
        <v>35812.1739130435</v>
      </c>
      <c r="J31" s="81" t="n">
        <f aca="false">H31*'W Sites'!$K$11/(1+'W Assumptions'!$D$39)*INDEX('W Assumptions'!$D$12:$F$12,1,D31)*INDEX('W Assumptions'!$D$33:$F$33,1,D31)</f>
        <v>1790.60869565217</v>
      </c>
      <c r="K31" s="81" t="n">
        <f aca="false">'W Sites'!$L$11*F31*IF(((YEAR(C31)-YEAR('W Sites'!$F$11))*12+MONTH(C31)-MONTH('W Sites'!$F$11))=0,'W Assumptions'!$D$62,IF(((YEAR(C31)-YEAR('W Sites'!$F$11))*12+MONTH(C31)-MONTH('W Sites'!$F$11))=1,'W Assumptions'!$D$63,1))*INDEX('W Assumptions'!$D$7:$F$7,1,D31)*INDEX('W Assumptions'!$D$32:$F$32,1,D31)</f>
        <v>16000</v>
      </c>
      <c r="L31" s="81" t="n">
        <f aca="false">SUM(I31:K31)</f>
        <v>53602.7826086957</v>
      </c>
      <c r="M31" s="81" t="n">
        <f aca="false">'W Site Costs'!$I$11*F31*INDEX('W Assumptions'!$D$34:$F$34,1,D31)*INDEX('W Assumptions'!$D$22:$F$22,1,D31)</f>
        <v>23836</v>
      </c>
      <c r="N31" s="81" t="n">
        <f aca="false">'W Site Costs'!$J$11*F31*INDEX('W Assumptions'!$D$35:$F$35,1,D31)*INDEX('W Assumptions'!$D$22:$F$22,1,D31)</f>
        <v>5000</v>
      </c>
      <c r="O31" s="81" t="n">
        <f aca="false">L31*'W Site Costs'!$K$11</f>
        <v>0</v>
      </c>
      <c r="P31" s="81" t="n">
        <f aca="false">SUM('W Site Costs'!$L$11:$Q$11)*F31*INDEX('W Assumptions'!$D$35:$F$35,1,D31)*INDEX('W Assumptions'!$D$22:$F$22,1,D31)</f>
        <v>8000</v>
      </c>
      <c r="Q31" s="81" t="n">
        <f aca="false">L31*'W Site Costs'!$R$11*INDEX('W Assumptions'!$D$17:$F$17,1,D31)</f>
        <v>5360.27826086957</v>
      </c>
      <c r="R31" s="112" t="n">
        <f aca="false">L31*'W Sites'!$M$11</f>
        <v>0</v>
      </c>
      <c r="S31" s="81" t="n">
        <f aca="false">SUM(M31:R31)</f>
        <v>42196.2782608696</v>
      </c>
      <c r="T31" s="81" t="n">
        <f aca="false">L31-S31</f>
        <v>11406.5043478261</v>
      </c>
      <c r="U31" s="81" t="n">
        <f aca="false">IF(C31='W Budget &amp; Owners'!$I$11,'W Budget &amp; Owners'!$F$11*'W Sites'!$G$11,0)</f>
        <v>0</v>
      </c>
      <c r="V31" s="81" t="n">
        <f aca="false">'W Sites'!$G$11*'W Budget &amp; Owners'!$E$11*INDEX('W Assumptions'!$D$27:$F$27,1,D31)*(IF(C31='W Budget &amp; Owners'!$I$11,'W Assumptions'!$D$65,0)+IF(C31=DATE(YEAR('W Sites'!$F$11),MONTH('W Sites'!$F$11),1),1-'W Assumptions'!$D$65,0))+'W Sites'!$G$11*'W Budget &amp; Owners'!$E$11*IF(C31=DATE(2027,9,1),'W Assumptions'!$D$67,IF(C31=DATE(2028,9,1),'W Assumptions'!$D$69,0))</f>
        <v>0</v>
      </c>
      <c r="W31" s="81" t="n">
        <f aca="false">IF(((YEAR(C31)-YEAR('W Sites'!$F$11))*12+MONTH(C31)-MONTH('W Sites'!$F$11))&lt;'W Budget &amp; Owners'!$H$11,'W Budget &amp; Owners'!$E$11/'W Budget &amp; Owners'!$H$11*F31,0)+IF(C31&gt;=DATE(2027,9,1),'W Budget &amp; Owners'!$E$11*'W Assumptions'!$D$67/'W Budget &amp; Owners'!$H$11*F31,0)+IF(C31&gt;=DATE(2028,9,1),'W Budget &amp; Owners'!$E$11*'W Assumptions'!$D$69/'W Budget &amp; Owners'!$H$11*F31,0)</f>
        <v>2500</v>
      </c>
      <c r="X31" s="81" t="n">
        <f aca="false">IF(C31='W Budget &amp; Owners'!$I$11,'W Budget &amp; Owners'!$G$11*'W Sites'!$G$11,0)</f>
        <v>0</v>
      </c>
      <c r="Y31" s="112" t="n">
        <f aca="false">IF(SUM($G$26:$G$35)=0,0,'W Fees &amp; KPI'!$Q$8*G31/SUM($G$26:$G$35))</f>
        <v>1024.78310090238</v>
      </c>
      <c r="Z31" s="119" t="n">
        <f aca="false">IF(SUM($G$26:$G$35)=0,0,SUM('W Fees &amp; KPI'!$J$8,'W Fees &amp; KPI'!$M$8)*G31/SUM($G$26:$G$35))</f>
        <v>9251.88679245283</v>
      </c>
      <c r="AA31" s="117" t="n">
        <f aca="false">T31-U31-Z31-Y31</f>
        <v>1129.83445447088</v>
      </c>
      <c r="AB31" s="119" t="n">
        <f aca="false">IF('W Fees &amp; KPI'!$D$8=0,0,T31-U31-Z31)</f>
        <v>2154.61755537326</v>
      </c>
    </row>
    <row r="32" customFormat="false" ht="21" hidden="false" customHeight="true" outlineLevel="0" collapsed="false">
      <c r="C32" s="144" t="n">
        <f aca="false">46327</f>
        <v>46327</v>
      </c>
      <c r="D32" s="81" t="n">
        <f aca="false">1</f>
        <v>1</v>
      </c>
      <c r="E32" s="81" t="str">
        <f aca="false">'W Sites'!C12</f>
        <v>S07</v>
      </c>
      <c r="F32" s="145" t="n">
        <f aca="false">'W Sites'!$G$12*MAX(0,EOMONTH(C32,0)-MAX(C32,'W Sites'!$F$12)+1)/DAY(EOMONTH(C32,0))</f>
        <v>0</v>
      </c>
      <c r="G32" s="145" t="n">
        <f aca="false">'W Sites'!$G$12*MAX(0,EOMONTH(C32,0)-MAX(C32,'W Sites'!$F$12,'W Assumptions'!$D$58)+1)/DAY(EOMONTH(C32,0))</f>
        <v>0</v>
      </c>
      <c r="H32" s="81" t="n">
        <f aca="false">'W Sites'!$H$12*F32*'W Sites'!$I$12*IF(((YEAR(C32)-YEAR('W Sites'!$F$12))*12+MONTH(C32)-MONTH('W Sites'!$F$12))=0,'W Assumptions'!$D$62,IF(((YEAR(C32)-YEAR('W Sites'!$F$12))*12+MONTH(C32)-MONTH('W Sites'!$F$12))=1,'W Assumptions'!$D$63,1))*INDEX('W Assumptions'!$D$7:$F$7,1,D32)*INDEX('W Assumptions'!$D$32:$F$32,1,D32)*INDEX('W Assumptions'!$D$80:$D$91,MONTH(C32),1)/AVERAGE('W Assumptions'!$D$80:$D$91)</f>
        <v>0</v>
      </c>
      <c r="I32" s="81" t="n">
        <f aca="false">H32*'W Sites'!$J$12/(1+'W Assumptions'!$D$39)*INDEX('W Assumptions'!$D$12:$F$12,1,D32)*INDEX('W Assumptions'!$D$33:$F$33,1,D32)</f>
        <v>0</v>
      </c>
      <c r="J32" s="81" t="n">
        <f aca="false">H32*'W Sites'!$K$12/(1+'W Assumptions'!$D$39)*INDEX('W Assumptions'!$D$12:$F$12,1,D32)*INDEX('W Assumptions'!$D$33:$F$33,1,D32)</f>
        <v>0</v>
      </c>
      <c r="K32" s="81" t="n">
        <f aca="false">'W Sites'!$L$12*F32*IF(((YEAR(C32)-YEAR('W Sites'!$F$12))*12+MONTH(C32)-MONTH('W Sites'!$F$12))=0,'W Assumptions'!$D$62,IF(((YEAR(C32)-YEAR('W Sites'!$F$12))*12+MONTH(C32)-MONTH('W Sites'!$F$12))=1,'W Assumptions'!$D$63,1))*INDEX('W Assumptions'!$D$7:$F$7,1,D32)*INDEX('W Assumptions'!$D$32:$F$32,1,D32)</f>
        <v>0</v>
      </c>
      <c r="L32" s="81" t="n">
        <f aca="false">SUM(I32:K32)</f>
        <v>0</v>
      </c>
      <c r="M32" s="81" t="n">
        <f aca="false">'W Site Costs'!$I$12*F32*INDEX('W Assumptions'!$D$34:$F$34,1,D32)*INDEX('W Assumptions'!$D$22:$F$22,1,D32)</f>
        <v>0</v>
      </c>
      <c r="N32" s="81" t="n">
        <f aca="false">'W Site Costs'!$J$12*F32*INDEX('W Assumptions'!$D$35:$F$35,1,D32)*INDEX('W Assumptions'!$D$22:$F$22,1,D32)</f>
        <v>0</v>
      </c>
      <c r="O32" s="81" t="n">
        <f aca="false">L32*'W Site Costs'!$K$12</f>
        <v>0</v>
      </c>
      <c r="P32" s="81" t="n">
        <f aca="false">SUM('W Site Costs'!$L$12:$Q$12)*F32*INDEX('W Assumptions'!$D$35:$F$35,1,D32)*INDEX('W Assumptions'!$D$22:$F$22,1,D32)</f>
        <v>0</v>
      </c>
      <c r="Q32" s="81" t="n">
        <f aca="false">L32*'W Site Costs'!$R$12*INDEX('W Assumptions'!$D$17:$F$17,1,D32)</f>
        <v>0</v>
      </c>
      <c r="R32" s="112" t="n">
        <f aca="false">L32*'W Sites'!$M$12</f>
        <v>0</v>
      </c>
      <c r="S32" s="81" t="n">
        <f aca="false">SUM(M32:R32)</f>
        <v>0</v>
      </c>
      <c r="T32" s="81" t="n">
        <f aca="false">L32-S32</f>
        <v>0</v>
      </c>
      <c r="U32" s="81" t="n">
        <f aca="false">IF(C32='W Budget &amp; Owners'!$I$12,'W Budget &amp; Owners'!$F$12*'W Sites'!$G$12,0)</f>
        <v>0</v>
      </c>
      <c r="V32" s="81" t="n">
        <f aca="false">'W Sites'!$G$12*'W Budget &amp; Owners'!$E$12*INDEX('W Assumptions'!$D$27:$F$27,1,D32)*(IF(C32='W Budget &amp; Owners'!$I$12,'W Assumptions'!$D$65,0)+IF(C32=DATE(YEAR('W Sites'!$F$12),MONTH('W Sites'!$F$12),1),1-'W Assumptions'!$D$65,0))+'W Sites'!$G$12*'W Budget &amp; Owners'!$E$12*IF(C32=DATE(2027,9,1),'W Assumptions'!$D$67,IF(C32=DATE(2028,9,1),'W Assumptions'!$D$69,0))</f>
        <v>0</v>
      </c>
      <c r="W32" s="81" t="n">
        <f aca="false">IF(((YEAR(C32)-YEAR('W Sites'!$F$12))*12+MONTH(C32)-MONTH('W Sites'!$F$12))&lt;'W Budget &amp; Owners'!$H$12,'W Budget &amp; Owners'!$E$12/'W Budget &amp; Owners'!$H$12*F32,0)+IF(C32&gt;=DATE(2027,9,1),'W Budget &amp; Owners'!$E$12*'W Assumptions'!$D$67/'W Budget &amp; Owners'!$H$12*F32,0)+IF(C32&gt;=DATE(2028,9,1),'W Budget &amp; Owners'!$E$12*'W Assumptions'!$D$69/'W Budget &amp; Owners'!$H$12*F32,0)</f>
        <v>0</v>
      </c>
      <c r="X32" s="81" t="n">
        <f aca="false">IF(C32='W Budget &amp; Owners'!$I$12,'W Budget &amp; Owners'!$G$12*'W Sites'!$G$12,0)</f>
        <v>0</v>
      </c>
      <c r="Y32" s="112" t="n">
        <f aca="false">IF(SUM($G$26:$G$35)=0,0,'W Fees &amp; KPI'!$Q$8*G32/SUM($G$26:$G$35))</f>
        <v>0</v>
      </c>
      <c r="Z32" s="119" t="n">
        <f aca="false">IF(SUM($G$26:$G$35)=0,0,SUM('W Fees &amp; KPI'!$J$8,'W Fees &amp; KPI'!$M$8)*G32/SUM($G$26:$G$35))</f>
        <v>0</v>
      </c>
      <c r="AA32" s="117" t="n">
        <f aca="false">T32-U32-Z32-Y32</f>
        <v>0</v>
      </c>
      <c r="AB32" s="119" t="n">
        <f aca="false">IF('W Fees &amp; KPI'!$D$8=0,0,T32-U32-Z32)</f>
        <v>0</v>
      </c>
    </row>
    <row r="33" customFormat="false" ht="21" hidden="false" customHeight="true" outlineLevel="0" collapsed="false">
      <c r="C33" s="144" t="n">
        <f aca="false">46327</f>
        <v>46327</v>
      </c>
      <c r="D33" s="81" t="n">
        <f aca="false">1</f>
        <v>1</v>
      </c>
      <c r="E33" s="81" t="str">
        <f aca="false">'W Sites'!C13</f>
        <v>S08</v>
      </c>
      <c r="F33" s="145" t="n">
        <f aca="false">'W Sites'!$G$13*MAX(0,EOMONTH(C33,0)-MAX(C33,'W Sites'!$F$13)+1)/DAY(EOMONTH(C33,0))</f>
        <v>0</v>
      </c>
      <c r="G33" s="145" t="n">
        <f aca="false">'W Sites'!$G$13*MAX(0,EOMONTH(C33,0)-MAX(C33,'W Sites'!$F$13,'W Assumptions'!$D$58)+1)/DAY(EOMONTH(C33,0))</f>
        <v>0</v>
      </c>
      <c r="H33" s="81" t="n">
        <f aca="false">'W Sites'!$H$13*F33*'W Sites'!$I$13*IF(((YEAR(C33)-YEAR('W Sites'!$F$13))*12+MONTH(C33)-MONTH('W Sites'!$F$13))=0,'W Assumptions'!$D$62,IF(((YEAR(C33)-YEAR('W Sites'!$F$13))*12+MONTH(C33)-MONTH('W Sites'!$F$13))=1,'W Assumptions'!$D$63,1))*INDEX('W Assumptions'!$D$7:$F$7,1,D33)*INDEX('W Assumptions'!$D$32:$F$32,1,D33)*INDEX('W Assumptions'!$D$80:$D$91,MONTH(C33),1)/AVERAGE('W Assumptions'!$D$80:$D$91)</f>
        <v>0</v>
      </c>
      <c r="I33" s="81" t="n">
        <f aca="false">H33*'W Sites'!$J$13/(1+'W Assumptions'!$D$39)*INDEX('W Assumptions'!$D$12:$F$12,1,D33)*INDEX('W Assumptions'!$D$33:$F$33,1,D33)</f>
        <v>0</v>
      </c>
      <c r="J33" s="81" t="n">
        <f aca="false">H33*'W Sites'!$K$13/(1+'W Assumptions'!$D$39)*INDEX('W Assumptions'!$D$12:$F$12,1,D33)*INDEX('W Assumptions'!$D$33:$F$33,1,D33)</f>
        <v>0</v>
      </c>
      <c r="K33" s="81" t="n">
        <f aca="false">'W Sites'!$L$13*F33*IF(((YEAR(C33)-YEAR('W Sites'!$F$13))*12+MONTH(C33)-MONTH('W Sites'!$F$13))=0,'W Assumptions'!$D$62,IF(((YEAR(C33)-YEAR('W Sites'!$F$13))*12+MONTH(C33)-MONTH('W Sites'!$F$13))=1,'W Assumptions'!$D$63,1))*INDEX('W Assumptions'!$D$7:$F$7,1,D33)*INDEX('W Assumptions'!$D$32:$F$32,1,D33)</f>
        <v>0</v>
      </c>
      <c r="L33" s="81" t="n">
        <f aca="false">SUM(I33:K33)</f>
        <v>0</v>
      </c>
      <c r="M33" s="81" t="n">
        <f aca="false">'W Site Costs'!$I$13*F33*INDEX('W Assumptions'!$D$34:$F$34,1,D33)*INDEX('W Assumptions'!$D$22:$F$22,1,D33)</f>
        <v>0</v>
      </c>
      <c r="N33" s="81" t="n">
        <f aca="false">'W Site Costs'!$J$13*F33*INDEX('W Assumptions'!$D$35:$F$35,1,D33)*INDEX('W Assumptions'!$D$22:$F$22,1,D33)</f>
        <v>0</v>
      </c>
      <c r="O33" s="81" t="n">
        <f aca="false">L33*'W Site Costs'!$K$13</f>
        <v>0</v>
      </c>
      <c r="P33" s="81" t="n">
        <f aca="false">SUM('W Site Costs'!$L$13:$Q$13)*F33*INDEX('W Assumptions'!$D$35:$F$35,1,D33)*INDEX('W Assumptions'!$D$22:$F$22,1,D33)</f>
        <v>0</v>
      </c>
      <c r="Q33" s="81" t="n">
        <f aca="false">L33*'W Site Costs'!$R$13*INDEX('W Assumptions'!$D$17:$F$17,1,D33)</f>
        <v>0</v>
      </c>
      <c r="R33" s="112" t="n">
        <f aca="false">L33*'W Sites'!$M$13</f>
        <v>0</v>
      </c>
      <c r="S33" s="81" t="n">
        <f aca="false">SUM(M33:R33)</f>
        <v>0</v>
      </c>
      <c r="T33" s="81" t="n">
        <f aca="false">L33-S33</f>
        <v>0</v>
      </c>
      <c r="U33" s="81" t="n">
        <f aca="false">IF(C33='W Budget &amp; Owners'!$I$13,'W Budget &amp; Owners'!$F$13*'W Sites'!$G$13,0)</f>
        <v>0</v>
      </c>
      <c r="V33" s="81" t="n">
        <f aca="false">'W Sites'!$G$13*'W Budget &amp; Owners'!$E$13*INDEX('W Assumptions'!$D$27:$F$27,1,D33)*(IF(C33='W Budget &amp; Owners'!$I$13,'W Assumptions'!$D$65,0)+IF(C33=DATE(YEAR('W Sites'!$F$13),MONTH('W Sites'!$F$13),1),1-'W Assumptions'!$D$65,0))+'W Sites'!$G$13*'W Budget &amp; Owners'!$E$13*IF(C33=DATE(2027,9,1),'W Assumptions'!$D$67,IF(C33=DATE(2028,9,1),'W Assumptions'!$D$69,0))</f>
        <v>0</v>
      </c>
      <c r="W33" s="81" t="n">
        <f aca="false">IF(((YEAR(C33)-YEAR('W Sites'!$F$13))*12+MONTH(C33)-MONTH('W Sites'!$F$13))&lt;'W Budget &amp; Owners'!$H$13,'W Budget &amp; Owners'!$E$13/'W Budget &amp; Owners'!$H$13*F33,0)+IF(C33&gt;=DATE(2027,9,1),'W Budget &amp; Owners'!$E$13*'W Assumptions'!$D$67/'W Budget &amp; Owners'!$H$13*F33,0)+IF(C33&gt;=DATE(2028,9,1),'W Budget &amp; Owners'!$E$13*'W Assumptions'!$D$69/'W Budget &amp; Owners'!$H$13*F33,0)</f>
        <v>0</v>
      </c>
      <c r="X33" s="81" t="n">
        <f aca="false">IF(C33='W Budget &amp; Owners'!$I$13,'W Budget &amp; Owners'!$G$13*'W Sites'!$G$13,0)</f>
        <v>0</v>
      </c>
      <c r="Y33" s="112" t="n">
        <f aca="false">IF(SUM($G$26:$G$35)=0,0,'W Fees &amp; KPI'!$Q$8*G33/SUM($G$26:$G$35))</f>
        <v>0</v>
      </c>
      <c r="Z33" s="119" t="n">
        <f aca="false">IF(SUM($G$26:$G$35)=0,0,SUM('W Fees &amp; KPI'!$J$8,'W Fees &amp; KPI'!$M$8)*G33/SUM($G$26:$G$35))</f>
        <v>0</v>
      </c>
      <c r="AA33" s="117" t="n">
        <f aca="false">T33-U33-Z33-Y33</f>
        <v>0</v>
      </c>
      <c r="AB33" s="119" t="n">
        <f aca="false">IF('W Fees &amp; KPI'!$D$8=0,0,T33-U33-Z33)</f>
        <v>0</v>
      </c>
    </row>
    <row r="34" customFormat="false" ht="21" hidden="false" customHeight="true" outlineLevel="0" collapsed="false">
      <c r="C34" s="144" t="n">
        <f aca="false">46327</f>
        <v>46327</v>
      </c>
      <c r="D34" s="81" t="n">
        <f aca="false">1</f>
        <v>1</v>
      </c>
      <c r="E34" s="81" t="str">
        <f aca="false">'W Sites'!C14</f>
        <v>S09</v>
      </c>
      <c r="F34" s="145" t="n">
        <f aca="false">'W Sites'!$G$14*MAX(0,EOMONTH(C34,0)-MAX(C34,'W Sites'!$F$14)+1)/DAY(EOMONTH(C34,0))</f>
        <v>0</v>
      </c>
      <c r="G34" s="145" t="n">
        <f aca="false">'W Sites'!$G$14*MAX(0,EOMONTH(C34,0)-MAX(C34,'W Sites'!$F$14,'W Assumptions'!$D$58)+1)/DAY(EOMONTH(C34,0))</f>
        <v>0</v>
      </c>
      <c r="H34" s="81" t="n">
        <f aca="false">'W Sites'!$H$14*F34*'W Sites'!$I$14*IF(((YEAR(C34)-YEAR('W Sites'!$F$14))*12+MONTH(C34)-MONTH('W Sites'!$F$14))=0,'W Assumptions'!$D$62,IF(((YEAR(C34)-YEAR('W Sites'!$F$14))*12+MONTH(C34)-MONTH('W Sites'!$F$14))=1,'W Assumptions'!$D$63,1))*INDEX('W Assumptions'!$D$7:$F$7,1,D34)*INDEX('W Assumptions'!$D$32:$F$32,1,D34)*INDEX('W Assumptions'!$D$80:$D$91,MONTH(C34),1)/AVERAGE('W Assumptions'!$D$80:$D$91)</f>
        <v>0</v>
      </c>
      <c r="I34" s="81" t="n">
        <f aca="false">H34*'W Sites'!$J$14/(1+'W Assumptions'!$D$39)*INDEX('W Assumptions'!$D$12:$F$12,1,D34)*INDEX('W Assumptions'!$D$33:$F$33,1,D34)</f>
        <v>0</v>
      </c>
      <c r="J34" s="81" t="n">
        <f aca="false">H34*'W Sites'!$K$14/(1+'W Assumptions'!$D$39)*INDEX('W Assumptions'!$D$12:$F$12,1,D34)*INDEX('W Assumptions'!$D$33:$F$33,1,D34)</f>
        <v>0</v>
      </c>
      <c r="K34" s="81" t="n">
        <f aca="false">'W Sites'!$L$14*F34*IF(((YEAR(C34)-YEAR('W Sites'!$F$14))*12+MONTH(C34)-MONTH('W Sites'!$F$14))=0,'W Assumptions'!$D$62,IF(((YEAR(C34)-YEAR('W Sites'!$F$14))*12+MONTH(C34)-MONTH('W Sites'!$F$14))=1,'W Assumptions'!$D$63,1))*INDEX('W Assumptions'!$D$7:$F$7,1,D34)*INDEX('W Assumptions'!$D$32:$F$32,1,D34)</f>
        <v>0</v>
      </c>
      <c r="L34" s="81" t="n">
        <f aca="false">SUM(I34:K34)</f>
        <v>0</v>
      </c>
      <c r="M34" s="81" t="n">
        <f aca="false">'W Site Costs'!$I$14*F34*INDEX('W Assumptions'!$D$34:$F$34,1,D34)*INDEX('W Assumptions'!$D$22:$F$22,1,D34)</f>
        <v>0</v>
      </c>
      <c r="N34" s="81" t="n">
        <f aca="false">'W Site Costs'!$J$14*F34*INDEX('W Assumptions'!$D$35:$F$35,1,D34)*INDEX('W Assumptions'!$D$22:$F$22,1,D34)</f>
        <v>0</v>
      </c>
      <c r="O34" s="81" t="n">
        <f aca="false">L34*'W Site Costs'!$K$14</f>
        <v>0</v>
      </c>
      <c r="P34" s="81" t="n">
        <f aca="false">SUM('W Site Costs'!$L$14:$Q$14)*F34*INDEX('W Assumptions'!$D$35:$F$35,1,D34)*INDEX('W Assumptions'!$D$22:$F$22,1,D34)</f>
        <v>0</v>
      </c>
      <c r="Q34" s="81" t="n">
        <f aca="false">L34*'W Site Costs'!$R$14*INDEX('W Assumptions'!$D$17:$F$17,1,D34)</f>
        <v>0</v>
      </c>
      <c r="R34" s="112" t="n">
        <f aca="false">L34*'W Sites'!$M$14</f>
        <v>0</v>
      </c>
      <c r="S34" s="81" t="n">
        <f aca="false">SUM(M34:R34)</f>
        <v>0</v>
      </c>
      <c r="T34" s="81" t="n">
        <f aca="false">L34-S34</f>
        <v>0</v>
      </c>
      <c r="U34" s="81" t="n">
        <f aca="false">IF(C34='W Budget &amp; Owners'!$I$14,'W Budget &amp; Owners'!$F$14*'W Sites'!$G$14,0)</f>
        <v>0</v>
      </c>
      <c r="V34" s="81" t="n">
        <f aca="false">'W Sites'!$G$14*'W Budget &amp; Owners'!$E$14*INDEX('W Assumptions'!$D$27:$F$27,1,D34)*(IF(C34='W Budget &amp; Owners'!$I$14,'W Assumptions'!$D$65,0)+IF(C34=DATE(YEAR('W Sites'!$F$14),MONTH('W Sites'!$F$14),1),1-'W Assumptions'!$D$65,0))+'W Sites'!$G$14*'W Budget &amp; Owners'!$E$14*IF(C34=DATE(2027,9,1),'W Assumptions'!$D$67,IF(C34=DATE(2028,9,1),'W Assumptions'!$D$69,0))</f>
        <v>0</v>
      </c>
      <c r="W34" s="81" t="n">
        <f aca="false">IF(((YEAR(C34)-YEAR('W Sites'!$F$14))*12+MONTH(C34)-MONTH('W Sites'!$F$14))&lt;'W Budget &amp; Owners'!$H$14,'W Budget &amp; Owners'!$E$14/'W Budget &amp; Owners'!$H$14*F34,0)+IF(C34&gt;=DATE(2027,9,1),'W Budget &amp; Owners'!$E$14*'W Assumptions'!$D$67/'W Budget &amp; Owners'!$H$14*F34,0)+IF(C34&gt;=DATE(2028,9,1),'W Budget &amp; Owners'!$E$14*'W Assumptions'!$D$69/'W Budget &amp; Owners'!$H$14*F34,0)</f>
        <v>0</v>
      </c>
      <c r="X34" s="81" t="n">
        <f aca="false">IF(C34='W Budget &amp; Owners'!$I$14,'W Budget &amp; Owners'!$G$14*'W Sites'!$G$14,0)</f>
        <v>0</v>
      </c>
      <c r="Y34" s="112" t="n">
        <f aca="false">IF(SUM($G$26:$G$35)=0,0,'W Fees &amp; KPI'!$Q$8*G34/SUM($G$26:$G$35))</f>
        <v>0</v>
      </c>
      <c r="Z34" s="119" t="n">
        <f aca="false">IF(SUM($G$26:$G$35)=0,0,SUM('W Fees &amp; KPI'!$J$8,'W Fees &amp; KPI'!$M$8)*G34/SUM($G$26:$G$35))</f>
        <v>0</v>
      </c>
      <c r="AA34" s="117" t="n">
        <f aca="false">T34-U34-Z34-Y34</f>
        <v>0</v>
      </c>
      <c r="AB34" s="119" t="n">
        <f aca="false">IF('W Fees &amp; KPI'!$D$8=0,0,T34-U34-Z34)</f>
        <v>0</v>
      </c>
    </row>
    <row r="35" customFormat="false" ht="21" hidden="false" customHeight="true" outlineLevel="0" collapsed="false">
      <c r="C35" s="144" t="n">
        <f aca="false">46327</f>
        <v>46327</v>
      </c>
      <c r="D35" s="81" t="n">
        <f aca="false">1</f>
        <v>1</v>
      </c>
      <c r="E35" s="81" t="str">
        <f aca="false">'W Sites'!C15</f>
        <v>S10</v>
      </c>
      <c r="F35" s="145" t="n">
        <f aca="false">'W Sites'!$G$15*MAX(0,EOMONTH(C35,0)-MAX(C35,'W Sites'!$F$15)+1)/DAY(EOMONTH(C35,0))</f>
        <v>0</v>
      </c>
      <c r="G35" s="145" t="n">
        <f aca="false">'W Sites'!$G$15*MAX(0,EOMONTH(C35,0)-MAX(C35,'W Sites'!$F$15,'W Assumptions'!$D$58)+1)/DAY(EOMONTH(C35,0))</f>
        <v>0</v>
      </c>
      <c r="H35" s="81" t="n">
        <f aca="false">'W Sites'!$H$15*F35*'W Sites'!$I$15*IF(((YEAR(C35)-YEAR('W Sites'!$F$15))*12+MONTH(C35)-MONTH('W Sites'!$F$15))=0,'W Assumptions'!$D$62,IF(((YEAR(C35)-YEAR('W Sites'!$F$15))*12+MONTH(C35)-MONTH('W Sites'!$F$15))=1,'W Assumptions'!$D$63,1))*INDEX('W Assumptions'!$D$7:$F$7,1,D35)*INDEX('W Assumptions'!$D$32:$F$32,1,D35)*INDEX('W Assumptions'!$D$80:$D$91,MONTH(C35),1)/AVERAGE('W Assumptions'!$D$80:$D$91)</f>
        <v>0</v>
      </c>
      <c r="I35" s="81" t="n">
        <f aca="false">H35*'W Sites'!$J$15/(1+'W Assumptions'!$D$39)*INDEX('W Assumptions'!$D$12:$F$12,1,D35)*INDEX('W Assumptions'!$D$33:$F$33,1,D35)</f>
        <v>0</v>
      </c>
      <c r="J35" s="81" t="n">
        <f aca="false">H35*'W Sites'!$K$15/(1+'W Assumptions'!$D$39)*INDEX('W Assumptions'!$D$12:$F$12,1,D35)*INDEX('W Assumptions'!$D$33:$F$33,1,D35)</f>
        <v>0</v>
      </c>
      <c r="K35" s="81" t="n">
        <f aca="false">'W Sites'!$L$15*F35*IF(((YEAR(C35)-YEAR('W Sites'!$F$15))*12+MONTH(C35)-MONTH('W Sites'!$F$15))=0,'W Assumptions'!$D$62,IF(((YEAR(C35)-YEAR('W Sites'!$F$15))*12+MONTH(C35)-MONTH('W Sites'!$F$15))=1,'W Assumptions'!$D$63,1))*INDEX('W Assumptions'!$D$7:$F$7,1,D35)*INDEX('W Assumptions'!$D$32:$F$32,1,D35)</f>
        <v>0</v>
      </c>
      <c r="L35" s="81" t="n">
        <f aca="false">SUM(I35:K35)</f>
        <v>0</v>
      </c>
      <c r="M35" s="81" t="n">
        <f aca="false">'W Site Costs'!$I$15*F35*INDEX('W Assumptions'!$D$34:$F$34,1,D35)*INDEX('W Assumptions'!$D$22:$F$22,1,D35)</f>
        <v>0</v>
      </c>
      <c r="N35" s="81" t="n">
        <f aca="false">'W Site Costs'!$J$15*F35*INDEX('W Assumptions'!$D$35:$F$35,1,D35)*INDEX('W Assumptions'!$D$22:$F$22,1,D35)</f>
        <v>0</v>
      </c>
      <c r="O35" s="81" t="n">
        <f aca="false">L35*'W Site Costs'!$K$15</f>
        <v>0</v>
      </c>
      <c r="P35" s="81" t="n">
        <f aca="false">SUM('W Site Costs'!$L$15:$Q$15)*F35*INDEX('W Assumptions'!$D$35:$F$35,1,D35)*INDEX('W Assumptions'!$D$22:$F$22,1,D35)</f>
        <v>0</v>
      </c>
      <c r="Q35" s="81" t="n">
        <f aca="false">L35*'W Site Costs'!$R$15*INDEX('W Assumptions'!$D$17:$F$17,1,D35)</f>
        <v>0</v>
      </c>
      <c r="R35" s="112" t="n">
        <f aca="false">L35*'W Sites'!$M$15</f>
        <v>0</v>
      </c>
      <c r="S35" s="81" t="n">
        <f aca="false">SUM(M35:R35)</f>
        <v>0</v>
      </c>
      <c r="T35" s="81" t="n">
        <f aca="false">L35-S35</f>
        <v>0</v>
      </c>
      <c r="U35" s="81" t="n">
        <f aca="false">IF(C35='W Budget &amp; Owners'!$I$15,'W Budget &amp; Owners'!$F$15*'W Sites'!$G$15,0)</f>
        <v>0</v>
      </c>
      <c r="V35" s="81" t="n">
        <f aca="false">'W Sites'!$G$15*'W Budget &amp; Owners'!$E$15*INDEX('W Assumptions'!$D$27:$F$27,1,D35)*(IF(C35='W Budget &amp; Owners'!$I$15,'W Assumptions'!$D$65,0)+IF(C35=DATE(YEAR('W Sites'!$F$15),MONTH('W Sites'!$F$15),1),1-'W Assumptions'!$D$65,0))+'W Sites'!$G$15*'W Budget &amp; Owners'!$E$15*IF(C35=DATE(2027,9,1),'W Assumptions'!$D$67,IF(C35=DATE(2028,9,1),'W Assumptions'!$D$69,0))</f>
        <v>0</v>
      </c>
      <c r="W35" s="81" t="n">
        <f aca="false">IF(((YEAR(C35)-YEAR('W Sites'!$F$15))*12+MONTH(C35)-MONTH('W Sites'!$F$15))&lt;'W Budget &amp; Owners'!$H$15,'W Budget &amp; Owners'!$E$15/'W Budget &amp; Owners'!$H$15*F35,0)+IF(C35&gt;=DATE(2027,9,1),'W Budget &amp; Owners'!$E$15*'W Assumptions'!$D$67/'W Budget &amp; Owners'!$H$15*F35,0)+IF(C35&gt;=DATE(2028,9,1),'W Budget &amp; Owners'!$E$15*'W Assumptions'!$D$69/'W Budget &amp; Owners'!$H$15*F35,0)</f>
        <v>0</v>
      </c>
      <c r="X35" s="81" t="n">
        <f aca="false">IF(C35='W Budget &amp; Owners'!$I$15,'W Budget &amp; Owners'!$G$15*'W Sites'!$G$15,0)</f>
        <v>0</v>
      </c>
      <c r="Y35" s="112" t="n">
        <f aca="false">IF(SUM($G$26:$G$35)=0,0,'W Fees &amp; KPI'!$Q$8*G35/SUM($G$26:$G$35))</f>
        <v>0</v>
      </c>
      <c r="Z35" s="119" t="n">
        <f aca="false">IF(SUM($G$26:$G$35)=0,0,SUM('W Fees &amp; KPI'!$J$8,'W Fees &amp; KPI'!$M$8)*G35/SUM($G$26:$G$35))</f>
        <v>0</v>
      </c>
      <c r="AA35" s="117" t="n">
        <f aca="false">T35-U35-Z35-Y35</f>
        <v>0</v>
      </c>
      <c r="AB35" s="119" t="n">
        <f aca="false">IF('W Fees &amp; KPI'!$D$8=0,0,T35-U35-Z35)</f>
        <v>0</v>
      </c>
    </row>
    <row r="36" customFormat="false" ht="21" hidden="false" customHeight="true" outlineLevel="0" collapsed="false">
      <c r="C36" s="144" t="n">
        <f aca="false">46357</f>
        <v>46357</v>
      </c>
      <c r="D36" s="81" t="n">
        <f aca="false">1</f>
        <v>1</v>
      </c>
      <c r="E36" s="81" t="str">
        <f aca="false">'W Sites'!C6</f>
        <v>S01</v>
      </c>
      <c r="F36" s="145" t="n">
        <f aca="false">'W Sites'!$G$6*MAX(0,EOMONTH(C36,0)-MAX(C36,'W Sites'!$F$6)+1)/DAY(EOMONTH(C36,0))</f>
        <v>1</v>
      </c>
      <c r="G36" s="145" t="n">
        <f aca="false">'W Sites'!$G$6*MAX(0,EOMONTH(C36,0)-MAX(C36,'W Sites'!$F$6,'W Assumptions'!$D$58)+1)/DAY(EOMONTH(C36,0))</f>
        <v>1</v>
      </c>
      <c r="H36" s="81" t="n">
        <f aca="false">'W Sites'!$D$45*INDEX('W Sites'!$E$65:$E$76,MONTH(C36),1)/SUM('W Sites'!$E$65:$E$76)*F36*(1+'W Sites'!$D$56)^(D36-1)*INDEX('W Assumptions'!$D$7:$F$7,1,D36)</f>
        <v>7032</v>
      </c>
      <c r="I36" s="81" t="n">
        <f aca="false">H36*'W Sites'!$D$46/(1+'W Sites'!$D$54*'W Assumptions'!$D$39)*INDEX('W Assumptions'!$D$12:$F$12,1,D36)</f>
        <v>386760</v>
      </c>
      <c r="J36" s="81" t="n">
        <f aca="false">H36*SUM('W Sites'!$D$47:$D$49)/(1+'W Sites'!$D$54*'W Assumptions'!$D$39)*INDEX('W Assumptions'!$D$12:$F$12,1,D36)</f>
        <v>210960</v>
      </c>
      <c r="K36" s="81" t="n">
        <f aca="false">SUM('W Sites'!$D$50:$D$52)/12*F36*(1+'W Sites'!$D$56)^(D36-1)*INDEX('W Assumptions'!$D$7:$F$7,1,D36)*INDEX('W Assumptions'!$D$12:$F$12,1,D36)/(1+'W Sites'!$D$54*'W Assumptions'!$D$39)</f>
        <v>33333.3333333333</v>
      </c>
      <c r="L36" s="81" t="n">
        <f aca="false">SUM(I36:K36)</f>
        <v>631053.333333333</v>
      </c>
      <c r="M36" s="81" t="n">
        <f aca="false">('W Site Costs'!$I$6+INDEX('W Sites'!$F$65:$F$76,MONTH(C36),1)*'W Site Costs'!$V$6)*F36*(1+'W Sites'!$D$58)^(D36-1)*INDEX('W Assumptions'!$D$22:$F$22,1,D36)</f>
        <v>108500</v>
      </c>
      <c r="N36" s="81" t="n">
        <f aca="false">'W Site Costs'!$J$6*F36*INDEX('W Assumptions'!$D$35:$F$35,1,D36)*INDEX('W Assumptions'!$D$22:$F$22,1,D36)</f>
        <v>15000</v>
      </c>
      <c r="O36" s="81" t="n">
        <f aca="false">L36*'W Site Costs'!$K$6</f>
        <v>0</v>
      </c>
      <c r="P36" s="81" t="n">
        <f aca="false">(SUM('W Site Costs'!$L$6:$Q$6)+INDEX('W Sites'!$F$65:$F$76,MONTH(C36),1)*'W Site Costs'!$W$6)*F36*(1+'W Sites'!$D$58)^(D36-1)*INDEX('W Assumptions'!$D$22:$F$22,1,D36)</f>
        <v>74000</v>
      </c>
      <c r="Q36" s="81" t="n">
        <f aca="false">('W Site Costs'!$X$6+INDEX('W Sites'!$F$65:$F$76,MONTH(C36),1)*'W Site Costs'!$Y$6)*F36*(1+'W Sites'!$D$58)^(D36-1)*INDEX('W Assumptions'!$D$17:$F$17,1,D36)</f>
        <v>18000</v>
      </c>
      <c r="R36" s="112" t="n">
        <f aca="false">L36*'W Sites'!$M$6</f>
        <v>0</v>
      </c>
      <c r="S36" s="81" t="n">
        <f aca="false">SUM(M36:R36)</f>
        <v>215500</v>
      </c>
      <c r="T36" s="81" t="n">
        <f aca="false">L36-S36</f>
        <v>415553.333333333</v>
      </c>
      <c r="U36" s="81" t="n">
        <f aca="false">IF(C36='W Budget &amp; Owners'!$I$6,'W Budget &amp; Owners'!$F$6*'W Sites'!$G$6,0)</f>
        <v>0</v>
      </c>
      <c r="V36" s="81" t="n">
        <f aca="false">'W Sites'!$G$6*'W Budget &amp; Owners'!$E$6*INDEX('W Assumptions'!$D$27:$F$27,1,D36)*(IF(C36='W Budget &amp; Owners'!$I$6,'W Assumptions'!$D$65,0)+IF(C36=DATE(YEAR('W Sites'!$F$6),MONTH('W Sites'!$F$6),1),1-'W Assumptions'!$D$65,0))+'W Sites'!$G$6*'W Budget &amp; Owners'!$E$6*IF(C36=DATE(2027,9,1),'W Assumptions'!$D$67,IF(C36=DATE(2028,9,1),'W Assumptions'!$D$69,0))</f>
        <v>0</v>
      </c>
      <c r="W36" s="81" t="n">
        <f aca="false">IF(((YEAR(C36)-YEAR('W Sites'!$F$6))*12+MONTH(C36)-MONTH('W Sites'!$F$6))&lt;'W Budget &amp; Owners'!$H$6,'W Budget &amp; Owners'!$E$6/'W Budget &amp; Owners'!$H$6*F36,0)+IF(C36&gt;=DATE(2027,9,1),'W Budget &amp; Owners'!$E$6*'W Assumptions'!$D$67/'W Budget &amp; Owners'!$H$6*F36,0)+IF(C36&gt;=DATE(2028,9,1),'W Budget &amp; Owners'!$E$6*'W Assumptions'!$D$69/'W Budget &amp; Owners'!$H$6*F36,0)</f>
        <v>5833.33333333333</v>
      </c>
      <c r="X36" s="81" t="n">
        <f aca="false">IF(C36='W Budget &amp; Owners'!$I$6,'W Budget &amp; Owners'!$G$6*'W Sites'!$G$6,0)</f>
        <v>0</v>
      </c>
      <c r="Y36" s="112" t="n">
        <f aca="false">IF(SUM($G$36:$G$45)=0,0,'W Fees &amp; KPI'!$Q$9*G36/SUM($G$36:$G$45))</f>
        <v>4334.22933333333</v>
      </c>
      <c r="Z36" s="119" t="n">
        <f aca="false">IF(SUM($G$36:$G$45)=0,0,SUM('W Fees &amp; KPI'!$J$9,'W Fees &amp; KPI'!$M$9)*G36/SUM($G$36:$G$45))</f>
        <v>6538</v>
      </c>
      <c r="AA36" s="117" t="n">
        <f aca="false">T36-U36-Z36-Y36</f>
        <v>404681.104</v>
      </c>
      <c r="AB36" s="119" t="n">
        <f aca="false">IF('W Fees &amp; KPI'!$D$9=0,0,T36-U36-Z36)</f>
        <v>409015.333333333</v>
      </c>
    </row>
    <row r="37" customFormat="false" ht="21" hidden="false" customHeight="true" outlineLevel="0" collapsed="false">
      <c r="C37" s="144" t="n">
        <f aca="false">46357</f>
        <v>46357</v>
      </c>
      <c r="D37" s="81" t="n">
        <f aca="false">1</f>
        <v>1</v>
      </c>
      <c r="E37" s="81" t="str">
        <f aca="false">'W Sites'!C7</f>
        <v>S02</v>
      </c>
      <c r="F37" s="145" t="n">
        <f aca="false">'W Sites'!$G$7*MAX(0,EOMONTH(C37,0)-MAX(C37,'W Sites'!$F$7)+1)/DAY(EOMONTH(C37,0))</f>
        <v>1</v>
      </c>
      <c r="G37" s="145" t="n">
        <f aca="false">'W Sites'!$G$7*MAX(0,EOMONTH(C37,0)-MAX(C37,'W Sites'!$F$7,'W Assumptions'!$D$58)+1)/DAY(EOMONTH(C37,0))</f>
        <v>1</v>
      </c>
      <c r="H37" s="81" t="n">
        <f aca="false">'W Sites'!$H$7*F37*'W Sites'!$I$7*IF(((YEAR(C37)-YEAR('W Sites'!$F$7))*12+MONTH(C37)-MONTH('W Sites'!$F$7))=0,'W Assumptions'!$D$62,IF(((YEAR(C37)-YEAR('W Sites'!$F$7))*12+MONTH(C37)-MONTH('W Sites'!$F$7))=1,'W Assumptions'!$D$63,1))*INDEX('W Assumptions'!$D$7:$F$7,1,D37)*INDEX('W Assumptions'!$D$32:$F$32,1,D37)*INDEX('W Assumptions'!$D$80:$D$91,MONTH(C37),1)/AVERAGE('W Assumptions'!$D$80:$D$91)</f>
        <v>2415</v>
      </c>
      <c r="I37" s="81" t="n">
        <f aca="false">H37*'W Sites'!$J$7/(1+'W Assumptions'!$D$39)*INDEX('W Assumptions'!$D$12:$F$12,1,D37)*INDEX('W Assumptions'!$D$33:$F$33,1,D37)</f>
        <v>73500</v>
      </c>
      <c r="J37" s="81" t="n">
        <f aca="false">H37*'W Sites'!$K$7/(1+'W Assumptions'!$D$39)*INDEX('W Assumptions'!$D$12:$F$12,1,D37)*INDEX('W Assumptions'!$D$33:$F$33,1,D37)</f>
        <v>6300</v>
      </c>
      <c r="K37" s="81" t="n">
        <f aca="false">'W Sites'!$L$7*F37*IF(((YEAR(C37)-YEAR('W Sites'!$F$7))*12+MONTH(C37)-MONTH('W Sites'!$F$7))=0,'W Assumptions'!$D$62,IF(((YEAR(C37)-YEAR('W Sites'!$F$7))*12+MONTH(C37)-MONTH('W Sites'!$F$7))=1,'W Assumptions'!$D$63,1))*INDEX('W Assumptions'!$D$7:$F$7,1,D37)*INDEX('W Assumptions'!$D$32:$F$32,1,D37)</f>
        <v>5000</v>
      </c>
      <c r="L37" s="81" t="n">
        <f aca="false">SUM(I37:K37)</f>
        <v>84800</v>
      </c>
      <c r="M37" s="81" t="n">
        <f aca="false">'W Site Costs'!$I$7*F37*INDEX('W Assumptions'!$D$34:$F$34,1,D37)*INDEX('W Assumptions'!$D$22:$F$22,1,D37)</f>
        <v>32450</v>
      </c>
      <c r="N37" s="81" t="n">
        <f aca="false">'W Site Costs'!$J$7*F37*INDEX('W Assumptions'!$D$35:$F$35,1,D37)*INDEX('W Assumptions'!$D$22:$F$22,1,D37)</f>
        <v>0</v>
      </c>
      <c r="O37" s="81" t="n">
        <f aca="false">L37*'W Site Costs'!$K$7</f>
        <v>12720</v>
      </c>
      <c r="P37" s="81" t="n">
        <f aca="false">SUM('W Site Costs'!$L$7:$Q$7)*F37*INDEX('W Assumptions'!$D$35:$F$35,1,D37)*INDEX('W Assumptions'!$D$22:$F$22,1,D37)</f>
        <v>11700</v>
      </c>
      <c r="Q37" s="81" t="n">
        <f aca="false">L37*'W Site Costs'!$R$7*INDEX('W Assumptions'!$D$17:$F$17,1,D37)</f>
        <v>5088</v>
      </c>
      <c r="R37" s="112" t="n">
        <f aca="false">L37*'W Sites'!$M$7</f>
        <v>0</v>
      </c>
      <c r="S37" s="81" t="n">
        <f aca="false">SUM(M37:R37)</f>
        <v>61958</v>
      </c>
      <c r="T37" s="81" t="n">
        <f aca="false">L37-S37</f>
        <v>22842</v>
      </c>
      <c r="U37" s="81" t="n">
        <f aca="false">IF(C37='W Budget &amp; Owners'!$I$7,'W Budget &amp; Owners'!$F$7*'W Sites'!$G$7,0)</f>
        <v>0</v>
      </c>
      <c r="V37" s="81" t="n">
        <f aca="false">'W Sites'!$G$7*'W Budget &amp; Owners'!$E$7*INDEX('W Assumptions'!$D$27:$F$27,1,D37)*(IF(C37='W Budget &amp; Owners'!$I$7,'W Assumptions'!$D$65,0)+IF(C37=DATE(YEAR('W Sites'!$F$7),MONTH('W Sites'!$F$7),1),1-'W Assumptions'!$D$65,0))+'W Sites'!$G$7*'W Budget &amp; Owners'!$E$7*IF(C37=DATE(2027,9,1),'W Assumptions'!$D$67,IF(C37=DATE(2028,9,1),'W Assumptions'!$D$69,0))</f>
        <v>0</v>
      </c>
      <c r="W37" s="81" t="n">
        <f aca="false">IF(((YEAR(C37)-YEAR('W Sites'!$F$7))*12+MONTH(C37)-MONTH('W Sites'!$F$7))&lt;'W Budget &amp; Owners'!$H$7,'W Budget &amp; Owners'!$E$7/'W Budget &amp; Owners'!$H$7*F37,0)+IF(C37&gt;=DATE(2027,9,1),'W Budget &amp; Owners'!$E$7*'W Assumptions'!$D$67/'W Budget &amp; Owners'!$H$7*F37,0)+IF(C37&gt;=DATE(2028,9,1),'W Budget &amp; Owners'!$E$7*'W Assumptions'!$D$69/'W Budget &amp; Owners'!$H$7*F37,0)</f>
        <v>1333.33333333333</v>
      </c>
      <c r="X37" s="81" t="n">
        <f aca="false">IF(C37='W Budget &amp; Owners'!$I$7,'W Budget &amp; Owners'!$G$7*'W Sites'!$G$7,0)</f>
        <v>0</v>
      </c>
      <c r="Y37" s="112" t="n">
        <f aca="false">IF(SUM($G$36:$G$45)=0,0,'W Fees &amp; KPI'!$Q$9*G37/SUM($G$36:$G$45))</f>
        <v>4334.22933333333</v>
      </c>
      <c r="Z37" s="119" t="n">
        <f aca="false">IF(SUM($G$36:$G$45)=0,0,SUM('W Fees &amp; KPI'!$J$9,'W Fees &amp; KPI'!$M$9)*G37/SUM($G$36:$G$45))</f>
        <v>6538</v>
      </c>
      <c r="AA37" s="117" t="n">
        <f aca="false">T37-U37-Z37-Y37</f>
        <v>11969.7706666667</v>
      </c>
      <c r="AB37" s="119" t="n">
        <f aca="false">IF('W Fees &amp; KPI'!$D$9=0,0,T37-U37-Z37)</f>
        <v>16304</v>
      </c>
    </row>
    <row r="38" customFormat="false" ht="21" hidden="false" customHeight="true" outlineLevel="0" collapsed="false">
      <c r="C38" s="144" t="n">
        <f aca="false">46357</f>
        <v>46357</v>
      </c>
      <c r="D38" s="81" t="n">
        <f aca="false">1</f>
        <v>1</v>
      </c>
      <c r="E38" s="81" t="str">
        <f aca="false">'W Sites'!C8</f>
        <v>S03</v>
      </c>
      <c r="F38" s="145" t="n">
        <f aca="false">'W Sites'!$G$8*MAX(0,EOMONTH(C38,0)-MAX(C38,'W Sites'!$F$8)+1)/DAY(EOMONTH(C38,0))</f>
        <v>0</v>
      </c>
      <c r="G38" s="145" t="n">
        <f aca="false">'W Sites'!$G$8*MAX(0,EOMONTH(C38,0)-MAX(C38,'W Sites'!$F$8,'W Assumptions'!$D$58)+1)/DAY(EOMONTH(C38,0))</f>
        <v>0</v>
      </c>
      <c r="H38" s="81" t="n">
        <f aca="false">'W Sites'!$H$8*F38*'W Sites'!$I$8*IF(((YEAR(C38)-YEAR('W Sites'!$F$8))*12+MONTH(C38)-MONTH('W Sites'!$F$8))=0,'W Assumptions'!$D$62,IF(((YEAR(C38)-YEAR('W Sites'!$F$8))*12+MONTH(C38)-MONTH('W Sites'!$F$8))=1,'W Assumptions'!$D$63,1))*INDEX('W Assumptions'!$D$7:$F$7,1,D38)*INDEX('W Assumptions'!$D$32:$F$32,1,D38)*INDEX('W Assumptions'!$D$80:$D$91,MONTH(C38),1)/AVERAGE('W Assumptions'!$D$80:$D$91)</f>
        <v>0</v>
      </c>
      <c r="I38" s="81" t="n">
        <f aca="false">H38*'W Sites'!$J$8/(1+'W Assumptions'!$D$39)*INDEX('W Assumptions'!$D$12:$F$12,1,D38)*INDEX('W Assumptions'!$D$33:$F$33,1,D38)</f>
        <v>0</v>
      </c>
      <c r="J38" s="81" t="n">
        <f aca="false">H38*'W Sites'!$K$8/(1+'W Assumptions'!$D$39)*INDEX('W Assumptions'!$D$12:$F$12,1,D38)*INDEX('W Assumptions'!$D$33:$F$33,1,D38)</f>
        <v>0</v>
      </c>
      <c r="K38" s="81" t="n">
        <f aca="false">'W Sites'!$L$8*F38*IF(((YEAR(C38)-YEAR('W Sites'!$F$8))*12+MONTH(C38)-MONTH('W Sites'!$F$8))=0,'W Assumptions'!$D$62,IF(((YEAR(C38)-YEAR('W Sites'!$F$8))*12+MONTH(C38)-MONTH('W Sites'!$F$8))=1,'W Assumptions'!$D$63,1))*INDEX('W Assumptions'!$D$7:$F$7,1,D38)*INDEX('W Assumptions'!$D$32:$F$32,1,D38)</f>
        <v>0</v>
      </c>
      <c r="L38" s="81" t="n">
        <f aca="false">SUM(I38:K38)</f>
        <v>0</v>
      </c>
      <c r="M38" s="81" t="n">
        <f aca="false">'W Site Costs'!$I$8*F38*INDEX('W Assumptions'!$D$34:$F$34,1,D38)*INDEX('W Assumptions'!$D$22:$F$22,1,D38)</f>
        <v>0</v>
      </c>
      <c r="N38" s="81" t="n">
        <f aca="false">'W Site Costs'!$J$8*F38*INDEX('W Assumptions'!$D$35:$F$35,1,D38)*INDEX('W Assumptions'!$D$22:$F$22,1,D38)</f>
        <v>0</v>
      </c>
      <c r="O38" s="81" t="n">
        <f aca="false">L38*'W Site Costs'!$K$8</f>
        <v>0</v>
      </c>
      <c r="P38" s="81" t="n">
        <f aca="false">SUM('W Site Costs'!$L$8:$Q$8)*F38*INDEX('W Assumptions'!$D$35:$F$35,1,D38)*INDEX('W Assumptions'!$D$22:$F$22,1,D38)</f>
        <v>0</v>
      </c>
      <c r="Q38" s="81" t="n">
        <f aca="false">L38*'W Site Costs'!$R$8*INDEX('W Assumptions'!$D$17:$F$17,1,D38)</f>
        <v>0</v>
      </c>
      <c r="R38" s="112" t="n">
        <f aca="false">L38*'W Sites'!$M$8</f>
        <v>0</v>
      </c>
      <c r="S38" s="81" t="n">
        <f aca="false">SUM(M38:R38)</f>
        <v>0</v>
      </c>
      <c r="T38" s="81" t="n">
        <f aca="false">L38-S38</f>
        <v>0</v>
      </c>
      <c r="U38" s="81" t="n">
        <f aca="false">IF(C38='W Budget &amp; Owners'!$I$8,'W Budget &amp; Owners'!$F$8*'W Sites'!$G$8,0)</f>
        <v>35000</v>
      </c>
      <c r="V38" s="81" t="n">
        <f aca="false">'W Sites'!$G$8*'W Budget &amp; Owners'!$E$8*INDEX('W Assumptions'!$D$27:$F$27,1,D38)*(IF(C38='W Budget &amp; Owners'!$I$8,'W Assumptions'!$D$65,0)+IF(C38=DATE(YEAR('W Sites'!$F$8),MONTH('W Sites'!$F$8),1),1-'W Assumptions'!$D$65,0))+'W Sites'!$G$8*'W Budget &amp; Owners'!$E$8*IF(C38=DATE(2027,9,1),'W Assumptions'!$D$67,IF(C38=DATE(2028,9,1),'W Assumptions'!$D$69,0))</f>
        <v>360000</v>
      </c>
      <c r="W38" s="81" t="n">
        <f aca="false">IF(((YEAR(C38)-YEAR('W Sites'!$F$8))*12+MONTH(C38)-MONTH('W Sites'!$F$8))&lt;'W Budget &amp; Owners'!$H$8,'W Budget &amp; Owners'!$E$8/'W Budget &amp; Owners'!$H$8*F38,0)+IF(C38&gt;=DATE(2027,9,1),'W Budget &amp; Owners'!$E$8*'W Assumptions'!$D$67/'W Budget &amp; Owners'!$H$8*F38,0)+IF(C38&gt;=DATE(2028,9,1),'W Budget &amp; Owners'!$E$8*'W Assumptions'!$D$69/'W Budget &amp; Owners'!$H$8*F38,0)</f>
        <v>0</v>
      </c>
      <c r="X38" s="81" t="n">
        <f aca="false">IF(C38='W Budget &amp; Owners'!$I$8,'W Budget &amp; Owners'!$G$8*'W Sites'!$G$8,0)</f>
        <v>70000</v>
      </c>
      <c r="Y38" s="112" t="n">
        <f aca="false">IF(SUM($G$36:$G$45)=0,0,'W Fees &amp; KPI'!$Q$9*G38/SUM($G$36:$G$45))</f>
        <v>0</v>
      </c>
      <c r="Z38" s="119" t="n">
        <f aca="false">IF(SUM($G$36:$G$45)=0,0,SUM('W Fees &amp; KPI'!$J$9,'W Fees &amp; KPI'!$M$9)*G38/SUM($G$36:$G$45))</f>
        <v>0</v>
      </c>
      <c r="AA38" s="117" t="n">
        <f aca="false">T38-U38-Z38-Y38</f>
        <v>-35000</v>
      </c>
      <c r="AB38" s="119" t="n">
        <f aca="false">IF('W Fees &amp; KPI'!$D$9=0,0,T38-U38-Z38)</f>
        <v>-35000</v>
      </c>
    </row>
    <row r="39" customFormat="false" ht="21" hidden="false" customHeight="true" outlineLevel="0" collapsed="false">
      <c r="C39" s="144" t="n">
        <f aca="false">46357</f>
        <v>46357</v>
      </c>
      <c r="D39" s="81" t="n">
        <f aca="false">1</f>
        <v>1</v>
      </c>
      <c r="E39" s="81" t="str">
        <f aca="false">'W Sites'!C9</f>
        <v>S04</v>
      </c>
      <c r="F39" s="145" t="n">
        <f aca="false">'W Sites'!$G$9*MAX(0,EOMONTH(C39,0)-MAX(C39,'W Sites'!$F$9)+1)/DAY(EOMONTH(C39,0))</f>
        <v>1</v>
      </c>
      <c r="G39" s="145" t="n">
        <f aca="false">'W Sites'!$G$9*MAX(0,EOMONTH(C39,0)-MAX(C39,'W Sites'!$F$9,'W Assumptions'!$D$58)+1)/DAY(EOMONTH(C39,0))</f>
        <v>1</v>
      </c>
      <c r="H39" s="81" t="n">
        <f aca="false">'W Sites'!$H$9*F39*'W Sites'!$I$9*IF(((YEAR(C39)-YEAR('W Sites'!$F$9))*12+MONTH(C39)-MONTH('W Sites'!$F$9))=0,'W Assumptions'!$D$62,IF(((YEAR(C39)-YEAR('W Sites'!$F$9))*12+MONTH(C39)-MONTH('W Sites'!$F$9))=1,'W Assumptions'!$D$63,1))*INDEX('W Assumptions'!$D$7:$F$7,1,D39)*INDEX('W Assumptions'!$D$32:$F$32,1,D39)*INDEX('W Assumptions'!$D$80:$D$91,MONTH(C39),1)/AVERAGE('W Assumptions'!$D$80:$D$91)</f>
        <v>1836.80555555556</v>
      </c>
      <c r="I39" s="81" t="n">
        <f aca="false">H39*'W Sites'!$J$9/(1+'W Assumptions'!$D$39)*INDEX('W Assumptions'!$D$12:$F$12,1,D39)*INDEX('W Assumptions'!$D$33:$F$33,1,D39)</f>
        <v>103819.444444444</v>
      </c>
      <c r="J39" s="81" t="n">
        <f aca="false">H39*'W Sites'!$K$9/(1+'W Assumptions'!$D$39)*INDEX('W Assumptions'!$D$12:$F$12,1,D39)*INDEX('W Assumptions'!$D$33:$F$33,1,D39)</f>
        <v>11180.5555555556</v>
      </c>
      <c r="K39" s="81" t="n">
        <f aca="false">'W Sites'!$L$9*F39*IF(((YEAR(C39)-YEAR('W Sites'!$F$9))*12+MONTH(C39)-MONTH('W Sites'!$F$9))=0,'W Assumptions'!$D$62,IF(((YEAR(C39)-YEAR('W Sites'!$F$9))*12+MONTH(C39)-MONTH('W Sites'!$F$9))=1,'W Assumptions'!$D$63,1))*INDEX('W Assumptions'!$D$7:$F$7,1,D39)*INDEX('W Assumptions'!$D$32:$F$32,1,D39)</f>
        <v>12000</v>
      </c>
      <c r="L39" s="81" t="n">
        <f aca="false">SUM(I39:K39)</f>
        <v>127000</v>
      </c>
      <c r="M39" s="81" t="n">
        <f aca="false">'W Site Costs'!$I$9*F39*INDEX('W Assumptions'!$D$34:$F$34,1,D39)*INDEX('W Assumptions'!$D$22:$F$22,1,D39)</f>
        <v>37760</v>
      </c>
      <c r="N39" s="81" t="n">
        <f aca="false">'W Site Costs'!$J$9*F39*INDEX('W Assumptions'!$D$35:$F$35,1,D39)*INDEX('W Assumptions'!$D$22:$F$22,1,D39)</f>
        <v>22000</v>
      </c>
      <c r="O39" s="81" t="n">
        <f aca="false">L39*'W Site Costs'!$K$9</f>
        <v>0</v>
      </c>
      <c r="P39" s="81" t="n">
        <f aca="false">SUM('W Site Costs'!$L$9:$Q$9)*F39*INDEX('W Assumptions'!$D$35:$F$35,1,D39)*INDEX('W Assumptions'!$D$22:$F$22,1,D39)</f>
        <v>15500</v>
      </c>
      <c r="Q39" s="81" t="n">
        <f aca="false">L39*'W Site Costs'!$R$9*INDEX('W Assumptions'!$D$17:$F$17,1,D39)</f>
        <v>10160</v>
      </c>
      <c r="R39" s="112" t="n">
        <f aca="false">L39*'W Sites'!$M$9</f>
        <v>0</v>
      </c>
      <c r="S39" s="81" t="n">
        <f aca="false">SUM(M39:R39)</f>
        <v>85420</v>
      </c>
      <c r="T39" s="81" t="n">
        <f aca="false">L39-S39</f>
        <v>41580</v>
      </c>
      <c r="U39" s="81" t="n">
        <f aca="false">IF(C39='W Budget &amp; Owners'!$I$9,'W Budget &amp; Owners'!$F$9*'W Sites'!$G$9,0)</f>
        <v>0</v>
      </c>
      <c r="V39" s="81" t="n">
        <f aca="false">'W Sites'!$G$9*'W Budget &amp; Owners'!$E$9*INDEX('W Assumptions'!$D$27:$F$27,1,D39)*(IF(C39='W Budget &amp; Owners'!$I$9,'W Assumptions'!$D$65,0)+IF(C39=DATE(YEAR('W Sites'!$F$9),MONTH('W Sites'!$F$9),1),1-'W Assumptions'!$D$65,0))+'W Sites'!$G$9*'W Budget &amp; Owners'!$E$9*IF(C39=DATE(2027,9,1),'W Assumptions'!$D$67,IF(C39=DATE(2028,9,1),'W Assumptions'!$D$69,0))</f>
        <v>0</v>
      </c>
      <c r="W39" s="81" t="n">
        <f aca="false">IF(((YEAR(C39)-YEAR('W Sites'!$F$9))*12+MONTH(C39)-MONTH('W Sites'!$F$9))&lt;'W Budget &amp; Owners'!$H$9,'W Budget &amp; Owners'!$E$9/'W Budget &amp; Owners'!$H$9*F39,0)+IF(C39&gt;=DATE(2027,9,1),'W Budget &amp; Owners'!$E$9*'W Assumptions'!$D$67/'W Budget &amp; Owners'!$H$9*F39,0)+IF(C39&gt;=DATE(2028,9,1),'W Budget &amp; Owners'!$E$9*'W Assumptions'!$D$69/'W Budget &amp; Owners'!$H$9*F39,0)</f>
        <v>8333.33333333333</v>
      </c>
      <c r="X39" s="81" t="n">
        <f aca="false">IF(C39='W Budget &amp; Owners'!$I$9,'W Budget &amp; Owners'!$G$9*'W Sites'!$G$9,0)</f>
        <v>0</v>
      </c>
      <c r="Y39" s="112" t="n">
        <f aca="false">IF(SUM($G$36:$G$45)=0,0,'W Fees &amp; KPI'!$Q$9*G39/SUM($G$36:$G$45))</f>
        <v>4334.22933333333</v>
      </c>
      <c r="Z39" s="119" t="n">
        <f aca="false">IF(SUM($G$36:$G$45)=0,0,SUM('W Fees &amp; KPI'!$J$9,'W Fees &amp; KPI'!$M$9)*G39/SUM($G$36:$G$45))</f>
        <v>6538</v>
      </c>
      <c r="AA39" s="117" t="n">
        <f aca="false">T39-U39-Z39-Y39</f>
        <v>30707.7706666667</v>
      </c>
      <c r="AB39" s="119" t="n">
        <f aca="false">IF('W Fees &amp; KPI'!$D$9=0,0,T39-U39-Z39)</f>
        <v>35042</v>
      </c>
    </row>
    <row r="40" customFormat="false" ht="21" hidden="false" customHeight="true" outlineLevel="0" collapsed="false">
      <c r="C40" s="144" t="n">
        <f aca="false">46357</f>
        <v>46357</v>
      </c>
      <c r="D40" s="81" t="n">
        <f aca="false">1</f>
        <v>1</v>
      </c>
      <c r="E40" s="81" t="str">
        <f aca="false">'W Sites'!C10</f>
        <v>S05</v>
      </c>
      <c r="F40" s="145" t="n">
        <f aca="false">'W Sites'!$G$10*MAX(0,EOMONTH(C40,0)-MAX(C40,'W Sites'!$F$10)+1)/DAY(EOMONTH(C40,0))</f>
        <v>1</v>
      </c>
      <c r="G40" s="145" t="n">
        <f aca="false">'W Sites'!$G$10*MAX(0,EOMONTH(C40,0)-MAX(C40,'W Sites'!$F$10,'W Assumptions'!$D$58)+1)/DAY(EOMONTH(C40,0))</f>
        <v>1</v>
      </c>
      <c r="H40" s="81" t="n">
        <f aca="false">'W Sites'!$H$10*F40*'W Sites'!$I$10*IF(((YEAR(C40)-YEAR('W Sites'!$F$10))*12+MONTH(C40)-MONTH('W Sites'!$F$10))=0,'W Assumptions'!$D$62,IF(((YEAR(C40)-YEAR('W Sites'!$F$10))*12+MONTH(C40)-MONTH('W Sites'!$F$10))=1,'W Assumptions'!$D$63,1))*INDEX('W Assumptions'!$D$7:$F$7,1,D40)*INDEX('W Assumptions'!$D$32:$F$32,1,D40)*INDEX('W Assumptions'!$D$80:$D$91,MONTH(C40),1)/AVERAGE('W Assumptions'!$D$80:$D$91)</f>
        <v>1760.91780821918</v>
      </c>
      <c r="I40" s="81" t="n">
        <f aca="false">H40*'W Sites'!$J$10/(1+'W Assumptions'!$D$39)*INDEX('W Assumptions'!$D$12:$F$12,1,D40)*INDEX('W Assumptions'!$D$33:$F$33,1,D40)</f>
        <v>99530.1369863014</v>
      </c>
      <c r="J40" s="81" t="n">
        <f aca="false">H40*'W Sites'!$K$10/(1+'W Assumptions'!$D$39)*INDEX('W Assumptions'!$D$12:$F$12,1,D40)*INDEX('W Assumptions'!$D$33:$F$33,1,D40)</f>
        <v>12249.8630136986</v>
      </c>
      <c r="K40" s="81" t="n">
        <f aca="false">'W Sites'!$L$10*F40*IF(((YEAR(C40)-YEAR('W Sites'!$F$10))*12+MONTH(C40)-MONTH('W Sites'!$F$10))=0,'W Assumptions'!$D$62,IF(((YEAR(C40)-YEAR('W Sites'!$F$10))*12+MONTH(C40)-MONTH('W Sites'!$F$10))=1,'W Assumptions'!$D$63,1))*INDEX('W Assumptions'!$D$7:$F$7,1,D40)*INDEX('W Assumptions'!$D$32:$F$32,1,D40)</f>
        <v>10800</v>
      </c>
      <c r="L40" s="81" t="n">
        <f aca="false">SUM(I40:K40)</f>
        <v>122580</v>
      </c>
      <c r="M40" s="81" t="n">
        <f aca="false">'W Site Costs'!$I$10*F40*INDEX('W Assumptions'!$D$34:$F$34,1,D40)*INDEX('W Assumptions'!$D$22:$F$22,1,D40)</f>
        <v>48026</v>
      </c>
      <c r="N40" s="81" t="n">
        <f aca="false">'W Site Costs'!$J$10*F40*INDEX('W Assumptions'!$D$35:$F$35,1,D40)*INDEX('W Assumptions'!$D$22:$F$22,1,D40)</f>
        <v>30000</v>
      </c>
      <c r="O40" s="81" t="n">
        <f aca="false">L40*'W Site Costs'!$K$10</f>
        <v>0</v>
      </c>
      <c r="P40" s="81" t="n">
        <f aca="false">SUM('W Site Costs'!$L$10:$Q$10)*F40*INDEX('W Assumptions'!$D$35:$F$35,1,D40)*INDEX('W Assumptions'!$D$22:$F$22,1,D40)</f>
        <v>19000</v>
      </c>
      <c r="Q40" s="81" t="n">
        <f aca="false">L40*'W Site Costs'!$R$10*INDEX('W Assumptions'!$D$17:$F$17,1,D40)</f>
        <v>9806.4</v>
      </c>
      <c r="R40" s="112" t="n">
        <f aca="false">L40*'W Sites'!$M$10</f>
        <v>0</v>
      </c>
      <c r="S40" s="81" t="n">
        <f aca="false">SUM(M40:R40)</f>
        <v>106832.4</v>
      </c>
      <c r="T40" s="81" t="n">
        <f aca="false">L40-S40</f>
        <v>15747.6</v>
      </c>
      <c r="U40" s="81" t="n">
        <f aca="false">IF(C40='W Budget &amp; Owners'!$I$10,'W Budget &amp; Owners'!$F$10*'W Sites'!$G$10,0)</f>
        <v>0</v>
      </c>
      <c r="V40" s="81" t="n">
        <f aca="false">'W Sites'!$G$10*'W Budget &amp; Owners'!$E$10*INDEX('W Assumptions'!$D$27:$F$27,1,D40)*(IF(C40='W Budget &amp; Owners'!$I$10,'W Assumptions'!$D$65,0)+IF(C40=DATE(YEAR('W Sites'!$F$10),MONTH('W Sites'!$F$10),1),1-'W Assumptions'!$D$65,0))+'W Sites'!$G$10*'W Budget &amp; Owners'!$E$10*IF(C40=DATE(2027,9,1),'W Assumptions'!$D$67,IF(C40=DATE(2028,9,1),'W Assumptions'!$D$69,0))</f>
        <v>300000</v>
      </c>
      <c r="W40" s="81" t="n">
        <f aca="false">IF(((YEAR(C40)-YEAR('W Sites'!$F$10))*12+MONTH(C40)-MONTH('W Sites'!$F$10))&lt;'W Budget &amp; Owners'!$H$10,'W Budget &amp; Owners'!$E$10/'W Budget &amp; Owners'!$H$10*F40,0)+IF(C40&gt;=DATE(2027,9,1),'W Budget &amp; Owners'!$E$10*'W Assumptions'!$D$67/'W Budget &amp; Owners'!$H$10*F40,0)+IF(C40&gt;=DATE(2028,9,1),'W Budget &amp; Owners'!$E$10*'W Assumptions'!$D$69/'W Budget &amp; Owners'!$H$10*F40,0)</f>
        <v>12500</v>
      </c>
      <c r="X40" s="81" t="n">
        <f aca="false">IF(C40='W Budget &amp; Owners'!$I$10,'W Budget &amp; Owners'!$G$10*'W Sites'!$G$10,0)</f>
        <v>0</v>
      </c>
      <c r="Y40" s="112" t="n">
        <f aca="false">IF(SUM($G$36:$G$45)=0,0,'W Fees &amp; KPI'!$Q$9*G40/SUM($G$36:$G$45))</f>
        <v>4334.22933333333</v>
      </c>
      <c r="Z40" s="119" t="n">
        <f aca="false">IF(SUM($G$36:$G$45)=0,0,SUM('W Fees &amp; KPI'!$J$9,'W Fees &amp; KPI'!$M$9)*G40/SUM($G$36:$G$45))</f>
        <v>6538</v>
      </c>
      <c r="AA40" s="117" t="n">
        <f aca="false">T40-U40-Z40-Y40</f>
        <v>4875.37066666667</v>
      </c>
      <c r="AB40" s="119" t="n">
        <f aca="false">IF('W Fees &amp; KPI'!$D$9=0,0,T40-U40-Z40)</f>
        <v>9209.60000000001</v>
      </c>
    </row>
    <row r="41" customFormat="false" ht="21" hidden="false" customHeight="true" outlineLevel="0" collapsed="false">
      <c r="C41" s="144" t="n">
        <f aca="false">46357</f>
        <v>46357</v>
      </c>
      <c r="D41" s="81" t="n">
        <f aca="false">1</f>
        <v>1</v>
      </c>
      <c r="E41" s="81" t="str">
        <f aca="false">'W Sites'!C11</f>
        <v>S06</v>
      </c>
      <c r="F41" s="145" t="n">
        <f aca="false">'W Sites'!$G$11*MAX(0,EOMONTH(C41,0)-MAX(C41,'W Sites'!$F$11)+1)/DAY(EOMONTH(C41,0))</f>
        <v>1</v>
      </c>
      <c r="G41" s="145" t="n">
        <f aca="false">'W Sites'!$G$11*MAX(0,EOMONTH(C41,0)-MAX(C41,'W Sites'!$F$11,'W Assumptions'!$D$58)+1)/DAY(EOMONTH(C41,0))</f>
        <v>1</v>
      </c>
      <c r="H41" s="81" t="n">
        <f aca="false">'W Sites'!$H$11*F41*'W Sites'!$I$11*IF(((YEAR(C41)-YEAR('W Sites'!$F$11))*12+MONTH(C41)-MONTH('W Sites'!$F$11))=0,'W Assumptions'!$D$62,IF(((YEAR(C41)-YEAR('W Sites'!$F$11))*12+MONTH(C41)-MONTH('W Sites'!$F$11))=1,'W Assumptions'!$D$63,1))*INDEX('W Assumptions'!$D$7:$F$7,1,D41)*INDEX('W Assumptions'!$D$32:$F$32,1,D41)*INDEX('W Assumptions'!$D$80:$D$91,MONTH(C41),1)/AVERAGE('W Assumptions'!$D$80:$D$91)</f>
        <v>897</v>
      </c>
      <c r="I41" s="81" t="n">
        <f aca="false">H41*'W Sites'!$J$11/(1+'W Assumptions'!$D$39)*INDEX('W Assumptions'!$D$12:$F$12,1,D41)*INDEX('W Assumptions'!$D$33:$F$33,1,D41)</f>
        <v>46800</v>
      </c>
      <c r="J41" s="81" t="n">
        <f aca="false">H41*'W Sites'!$K$11/(1+'W Assumptions'!$D$39)*INDEX('W Assumptions'!$D$12:$F$12,1,D41)*INDEX('W Assumptions'!$D$33:$F$33,1,D41)</f>
        <v>2340</v>
      </c>
      <c r="K41" s="81" t="n">
        <f aca="false">'W Sites'!$L$11*F41*IF(((YEAR(C41)-YEAR('W Sites'!$F$11))*12+MONTH(C41)-MONTH('W Sites'!$F$11))=0,'W Assumptions'!$D$62,IF(((YEAR(C41)-YEAR('W Sites'!$F$11))*12+MONTH(C41)-MONTH('W Sites'!$F$11))=1,'W Assumptions'!$D$63,1))*INDEX('W Assumptions'!$D$7:$F$7,1,D41)*INDEX('W Assumptions'!$D$32:$F$32,1,D41)</f>
        <v>20000</v>
      </c>
      <c r="L41" s="81" t="n">
        <f aca="false">SUM(I41:K41)</f>
        <v>69140</v>
      </c>
      <c r="M41" s="81" t="n">
        <f aca="false">'W Site Costs'!$I$11*F41*INDEX('W Assumptions'!$D$34:$F$34,1,D41)*INDEX('W Assumptions'!$D$22:$F$22,1,D41)</f>
        <v>23836</v>
      </c>
      <c r="N41" s="81" t="n">
        <f aca="false">'W Site Costs'!$J$11*F41*INDEX('W Assumptions'!$D$35:$F$35,1,D41)*INDEX('W Assumptions'!$D$22:$F$22,1,D41)</f>
        <v>5000</v>
      </c>
      <c r="O41" s="81" t="n">
        <f aca="false">L41*'W Site Costs'!$K$11</f>
        <v>0</v>
      </c>
      <c r="P41" s="81" t="n">
        <f aca="false">SUM('W Site Costs'!$L$11:$Q$11)*F41*INDEX('W Assumptions'!$D$35:$F$35,1,D41)*INDEX('W Assumptions'!$D$22:$F$22,1,D41)</f>
        <v>8000</v>
      </c>
      <c r="Q41" s="81" t="n">
        <f aca="false">L41*'W Site Costs'!$R$11*INDEX('W Assumptions'!$D$17:$F$17,1,D41)</f>
        <v>6914</v>
      </c>
      <c r="R41" s="112" t="n">
        <f aca="false">L41*'W Sites'!$M$11</f>
        <v>0</v>
      </c>
      <c r="S41" s="81" t="n">
        <f aca="false">SUM(M41:R41)</f>
        <v>43750</v>
      </c>
      <c r="T41" s="81" t="n">
        <f aca="false">L41-S41</f>
        <v>25390</v>
      </c>
      <c r="U41" s="81" t="n">
        <f aca="false">IF(C41='W Budget &amp; Owners'!$I$11,'W Budget &amp; Owners'!$F$11*'W Sites'!$G$11,0)</f>
        <v>0</v>
      </c>
      <c r="V41" s="81" t="n">
        <f aca="false">'W Sites'!$G$11*'W Budget &amp; Owners'!$E$11*INDEX('W Assumptions'!$D$27:$F$27,1,D41)*(IF(C41='W Budget &amp; Owners'!$I$11,'W Assumptions'!$D$65,0)+IF(C41=DATE(YEAR('W Sites'!$F$11),MONTH('W Sites'!$F$11),1),1-'W Assumptions'!$D$65,0))+'W Sites'!$G$11*'W Budget &amp; Owners'!$E$11*IF(C41=DATE(2027,9,1),'W Assumptions'!$D$67,IF(C41=DATE(2028,9,1),'W Assumptions'!$D$69,0))</f>
        <v>0</v>
      </c>
      <c r="W41" s="81" t="n">
        <f aca="false">IF(((YEAR(C41)-YEAR('W Sites'!$F$11))*12+MONTH(C41)-MONTH('W Sites'!$F$11))&lt;'W Budget &amp; Owners'!$H$11,'W Budget &amp; Owners'!$E$11/'W Budget &amp; Owners'!$H$11*F41,0)+IF(C41&gt;=DATE(2027,9,1),'W Budget &amp; Owners'!$E$11*'W Assumptions'!$D$67/'W Budget &amp; Owners'!$H$11*F41,0)+IF(C41&gt;=DATE(2028,9,1),'W Budget &amp; Owners'!$E$11*'W Assumptions'!$D$69/'W Budget &amp; Owners'!$H$11*F41,0)</f>
        <v>2500</v>
      </c>
      <c r="X41" s="81" t="n">
        <f aca="false">IF(C41='W Budget &amp; Owners'!$I$11,'W Budget &amp; Owners'!$G$11*'W Sites'!$G$11,0)</f>
        <v>0</v>
      </c>
      <c r="Y41" s="112" t="n">
        <f aca="false">IF(SUM($G$36:$G$45)=0,0,'W Fees &amp; KPI'!$Q$9*G41/SUM($G$36:$G$45))</f>
        <v>4334.22933333333</v>
      </c>
      <c r="Z41" s="119" t="n">
        <f aca="false">IF(SUM($G$36:$G$45)=0,0,SUM('W Fees &amp; KPI'!$J$9,'W Fees &amp; KPI'!$M$9)*G41/SUM($G$36:$G$45))</f>
        <v>6538</v>
      </c>
      <c r="AA41" s="117" t="n">
        <f aca="false">T41-U41-Z41-Y41</f>
        <v>14517.7706666667</v>
      </c>
      <c r="AB41" s="119" t="n">
        <f aca="false">IF('W Fees &amp; KPI'!$D$9=0,0,T41-U41-Z41)</f>
        <v>18852</v>
      </c>
    </row>
    <row r="42" customFormat="false" ht="21" hidden="false" customHeight="true" outlineLevel="0" collapsed="false">
      <c r="C42" s="144" t="n">
        <f aca="false">46357</f>
        <v>46357</v>
      </c>
      <c r="D42" s="81" t="n">
        <f aca="false">1</f>
        <v>1</v>
      </c>
      <c r="E42" s="81" t="str">
        <f aca="false">'W Sites'!C12</f>
        <v>S07</v>
      </c>
      <c r="F42" s="145" t="n">
        <f aca="false">'W Sites'!$G$12*MAX(0,EOMONTH(C42,0)-MAX(C42,'W Sites'!$F$12)+1)/DAY(EOMONTH(C42,0))</f>
        <v>0</v>
      </c>
      <c r="G42" s="145" t="n">
        <f aca="false">'W Sites'!$G$12*MAX(0,EOMONTH(C42,0)-MAX(C42,'W Sites'!$F$12,'W Assumptions'!$D$58)+1)/DAY(EOMONTH(C42,0))</f>
        <v>0</v>
      </c>
      <c r="H42" s="81" t="n">
        <f aca="false">'W Sites'!$H$12*F42*'W Sites'!$I$12*IF(((YEAR(C42)-YEAR('W Sites'!$F$12))*12+MONTH(C42)-MONTH('W Sites'!$F$12))=0,'W Assumptions'!$D$62,IF(((YEAR(C42)-YEAR('W Sites'!$F$12))*12+MONTH(C42)-MONTH('W Sites'!$F$12))=1,'W Assumptions'!$D$63,1))*INDEX('W Assumptions'!$D$7:$F$7,1,D42)*INDEX('W Assumptions'!$D$32:$F$32,1,D42)*INDEX('W Assumptions'!$D$80:$D$91,MONTH(C42),1)/AVERAGE('W Assumptions'!$D$80:$D$91)</f>
        <v>0</v>
      </c>
      <c r="I42" s="81" t="n">
        <f aca="false">H42*'W Sites'!$J$12/(1+'W Assumptions'!$D$39)*INDEX('W Assumptions'!$D$12:$F$12,1,D42)*INDEX('W Assumptions'!$D$33:$F$33,1,D42)</f>
        <v>0</v>
      </c>
      <c r="J42" s="81" t="n">
        <f aca="false">H42*'W Sites'!$K$12/(1+'W Assumptions'!$D$39)*INDEX('W Assumptions'!$D$12:$F$12,1,D42)*INDEX('W Assumptions'!$D$33:$F$33,1,D42)</f>
        <v>0</v>
      </c>
      <c r="K42" s="81" t="n">
        <f aca="false">'W Sites'!$L$12*F42*IF(((YEAR(C42)-YEAR('W Sites'!$F$12))*12+MONTH(C42)-MONTH('W Sites'!$F$12))=0,'W Assumptions'!$D$62,IF(((YEAR(C42)-YEAR('W Sites'!$F$12))*12+MONTH(C42)-MONTH('W Sites'!$F$12))=1,'W Assumptions'!$D$63,1))*INDEX('W Assumptions'!$D$7:$F$7,1,D42)*INDEX('W Assumptions'!$D$32:$F$32,1,D42)</f>
        <v>0</v>
      </c>
      <c r="L42" s="81" t="n">
        <f aca="false">SUM(I42:K42)</f>
        <v>0</v>
      </c>
      <c r="M42" s="81" t="n">
        <f aca="false">'W Site Costs'!$I$12*F42*INDEX('W Assumptions'!$D$34:$F$34,1,D42)*INDEX('W Assumptions'!$D$22:$F$22,1,D42)</f>
        <v>0</v>
      </c>
      <c r="N42" s="81" t="n">
        <f aca="false">'W Site Costs'!$J$12*F42*INDEX('W Assumptions'!$D$35:$F$35,1,D42)*INDEX('W Assumptions'!$D$22:$F$22,1,D42)</f>
        <v>0</v>
      </c>
      <c r="O42" s="81" t="n">
        <f aca="false">L42*'W Site Costs'!$K$12</f>
        <v>0</v>
      </c>
      <c r="P42" s="81" t="n">
        <f aca="false">SUM('W Site Costs'!$L$12:$Q$12)*F42*INDEX('W Assumptions'!$D$35:$F$35,1,D42)*INDEX('W Assumptions'!$D$22:$F$22,1,D42)</f>
        <v>0</v>
      </c>
      <c r="Q42" s="81" t="n">
        <f aca="false">L42*'W Site Costs'!$R$12*INDEX('W Assumptions'!$D$17:$F$17,1,D42)</f>
        <v>0</v>
      </c>
      <c r="R42" s="112" t="n">
        <f aca="false">L42*'W Sites'!$M$12</f>
        <v>0</v>
      </c>
      <c r="S42" s="81" t="n">
        <f aca="false">SUM(M42:R42)</f>
        <v>0</v>
      </c>
      <c r="T42" s="81" t="n">
        <f aca="false">L42-S42</f>
        <v>0</v>
      </c>
      <c r="U42" s="81" t="n">
        <f aca="false">IF(C42='W Budget &amp; Owners'!$I$12,'W Budget &amp; Owners'!$F$12*'W Sites'!$G$12,0)</f>
        <v>20000</v>
      </c>
      <c r="V42" s="81" t="n">
        <f aca="false">'W Sites'!$G$12*'W Budget &amp; Owners'!$E$12*INDEX('W Assumptions'!$D$27:$F$27,1,D42)*(IF(C42='W Budget &amp; Owners'!$I$12,'W Assumptions'!$D$65,0)+IF(C42=DATE(YEAR('W Sites'!$F$12),MONTH('W Sites'!$F$12),1),1-'W Assumptions'!$D$65,0))+'W Sites'!$G$12*'W Budget &amp; Owners'!$E$12*IF(C42=DATE(2027,9,1),'W Assumptions'!$D$67,IF(C42=DATE(2028,9,1),'W Assumptions'!$D$69,0))</f>
        <v>270000</v>
      </c>
      <c r="W42" s="81" t="n">
        <f aca="false">IF(((YEAR(C42)-YEAR('W Sites'!$F$12))*12+MONTH(C42)-MONTH('W Sites'!$F$12))&lt;'W Budget &amp; Owners'!$H$12,'W Budget &amp; Owners'!$E$12/'W Budget &amp; Owners'!$H$12*F42,0)+IF(C42&gt;=DATE(2027,9,1),'W Budget &amp; Owners'!$E$12*'W Assumptions'!$D$67/'W Budget &amp; Owners'!$H$12*F42,0)+IF(C42&gt;=DATE(2028,9,1),'W Budget &amp; Owners'!$E$12*'W Assumptions'!$D$69/'W Budget &amp; Owners'!$H$12*F42,0)</f>
        <v>0</v>
      </c>
      <c r="X42" s="81" t="n">
        <f aca="false">IF(C42='W Budget &amp; Owners'!$I$12,'W Budget &amp; Owners'!$G$12*'W Sites'!$G$12,0)</f>
        <v>16000</v>
      </c>
      <c r="Y42" s="112" t="n">
        <f aca="false">IF(SUM($G$36:$G$45)=0,0,'W Fees &amp; KPI'!$Q$9*G42/SUM($G$36:$G$45))</f>
        <v>0</v>
      </c>
      <c r="Z42" s="119" t="n">
        <f aca="false">IF(SUM($G$36:$G$45)=0,0,SUM('W Fees &amp; KPI'!$J$9,'W Fees &amp; KPI'!$M$9)*G42/SUM($G$36:$G$45))</f>
        <v>0</v>
      </c>
      <c r="AA42" s="117" t="n">
        <f aca="false">T42-U42-Z42-Y42</f>
        <v>-20000</v>
      </c>
      <c r="AB42" s="119" t="n">
        <f aca="false">IF('W Fees &amp; KPI'!$D$9=0,0,T42-U42-Z42)</f>
        <v>-20000</v>
      </c>
    </row>
    <row r="43" customFormat="false" ht="21" hidden="false" customHeight="true" outlineLevel="0" collapsed="false">
      <c r="C43" s="144" t="n">
        <f aca="false">46357</f>
        <v>46357</v>
      </c>
      <c r="D43" s="81" t="n">
        <f aca="false">1</f>
        <v>1</v>
      </c>
      <c r="E43" s="81" t="str">
        <f aca="false">'W Sites'!C13</f>
        <v>S08</v>
      </c>
      <c r="F43" s="145" t="n">
        <f aca="false">'W Sites'!$G$13*MAX(0,EOMONTH(C43,0)-MAX(C43,'W Sites'!$F$13)+1)/DAY(EOMONTH(C43,0))</f>
        <v>0</v>
      </c>
      <c r="G43" s="145" t="n">
        <f aca="false">'W Sites'!$G$13*MAX(0,EOMONTH(C43,0)-MAX(C43,'W Sites'!$F$13,'W Assumptions'!$D$58)+1)/DAY(EOMONTH(C43,0))</f>
        <v>0</v>
      </c>
      <c r="H43" s="81" t="n">
        <f aca="false">'W Sites'!$H$13*F43*'W Sites'!$I$13*IF(((YEAR(C43)-YEAR('W Sites'!$F$13))*12+MONTH(C43)-MONTH('W Sites'!$F$13))=0,'W Assumptions'!$D$62,IF(((YEAR(C43)-YEAR('W Sites'!$F$13))*12+MONTH(C43)-MONTH('W Sites'!$F$13))=1,'W Assumptions'!$D$63,1))*INDEX('W Assumptions'!$D$7:$F$7,1,D43)*INDEX('W Assumptions'!$D$32:$F$32,1,D43)*INDEX('W Assumptions'!$D$80:$D$91,MONTH(C43),1)/AVERAGE('W Assumptions'!$D$80:$D$91)</f>
        <v>0</v>
      </c>
      <c r="I43" s="81" t="n">
        <f aca="false">H43*'W Sites'!$J$13/(1+'W Assumptions'!$D$39)*INDEX('W Assumptions'!$D$12:$F$12,1,D43)*INDEX('W Assumptions'!$D$33:$F$33,1,D43)</f>
        <v>0</v>
      </c>
      <c r="J43" s="81" t="n">
        <f aca="false">H43*'W Sites'!$K$13/(1+'W Assumptions'!$D$39)*INDEX('W Assumptions'!$D$12:$F$12,1,D43)*INDEX('W Assumptions'!$D$33:$F$33,1,D43)</f>
        <v>0</v>
      </c>
      <c r="K43" s="81" t="n">
        <f aca="false">'W Sites'!$L$13*F43*IF(((YEAR(C43)-YEAR('W Sites'!$F$13))*12+MONTH(C43)-MONTH('W Sites'!$F$13))=0,'W Assumptions'!$D$62,IF(((YEAR(C43)-YEAR('W Sites'!$F$13))*12+MONTH(C43)-MONTH('W Sites'!$F$13))=1,'W Assumptions'!$D$63,1))*INDEX('W Assumptions'!$D$7:$F$7,1,D43)*INDEX('W Assumptions'!$D$32:$F$32,1,D43)</f>
        <v>0</v>
      </c>
      <c r="L43" s="81" t="n">
        <f aca="false">SUM(I43:K43)</f>
        <v>0</v>
      </c>
      <c r="M43" s="81" t="n">
        <f aca="false">'W Site Costs'!$I$13*F43*INDEX('W Assumptions'!$D$34:$F$34,1,D43)*INDEX('W Assumptions'!$D$22:$F$22,1,D43)</f>
        <v>0</v>
      </c>
      <c r="N43" s="81" t="n">
        <f aca="false">'W Site Costs'!$J$13*F43*INDEX('W Assumptions'!$D$35:$F$35,1,D43)*INDEX('W Assumptions'!$D$22:$F$22,1,D43)</f>
        <v>0</v>
      </c>
      <c r="O43" s="81" t="n">
        <f aca="false">L43*'W Site Costs'!$K$13</f>
        <v>0</v>
      </c>
      <c r="P43" s="81" t="n">
        <f aca="false">SUM('W Site Costs'!$L$13:$Q$13)*F43*INDEX('W Assumptions'!$D$35:$F$35,1,D43)*INDEX('W Assumptions'!$D$22:$F$22,1,D43)</f>
        <v>0</v>
      </c>
      <c r="Q43" s="81" t="n">
        <f aca="false">L43*'W Site Costs'!$R$13*INDEX('W Assumptions'!$D$17:$F$17,1,D43)</f>
        <v>0</v>
      </c>
      <c r="R43" s="112" t="n">
        <f aca="false">L43*'W Sites'!$M$13</f>
        <v>0</v>
      </c>
      <c r="S43" s="81" t="n">
        <f aca="false">SUM(M43:R43)</f>
        <v>0</v>
      </c>
      <c r="T43" s="81" t="n">
        <f aca="false">L43-S43</f>
        <v>0</v>
      </c>
      <c r="U43" s="81" t="n">
        <f aca="false">IF(C43='W Budget &amp; Owners'!$I$13,'W Budget &amp; Owners'!$F$13*'W Sites'!$G$13,0)</f>
        <v>0</v>
      </c>
      <c r="V43" s="81" t="n">
        <f aca="false">'W Sites'!$G$13*'W Budget &amp; Owners'!$E$13*INDEX('W Assumptions'!$D$27:$F$27,1,D43)*(IF(C43='W Budget &amp; Owners'!$I$13,'W Assumptions'!$D$65,0)+IF(C43=DATE(YEAR('W Sites'!$F$13),MONTH('W Sites'!$F$13),1),1-'W Assumptions'!$D$65,0))+'W Sites'!$G$13*'W Budget &amp; Owners'!$E$13*IF(C43=DATE(2027,9,1),'W Assumptions'!$D$67,IF(C43=DATE(2028,9,1),'W Assumptions'!$D$69,0))</f>
        <v>0</v>
      </c>
      <c r="W43" s="81" t="n">
        <f aca="false">IF(((YEAR(C43)-YEAR('W Sites'!$F$13))*12+MONTH(C43)-MONTH('W Sites'!$F$13))&lt;'W Budget &amp; Owners'!$H$13,'W Budget &amp; Owners'!$E$13/'W Budget &amp; Owners'!$H$13*F43,0)+IF(C43&gt;=DATE(2027,9,1),'W Budget &amp; Owners'!$E$13*'W Assumptions'!$D$67/'W Budget &amp; Owners'!$H$13*F43,0)+IF(C43&gt;=DATE(2028,9,1),'W Budget &amp; Owners'!$E$13*'W Assumptions'!$D$69/'W Budget &amp; Owners'!$H$13*F43,0)</f>
        <v>0</v>
      </c>
      <c r="X43" s="81" t="n">
        <f aca="false">IF(C43='W Budget &amp; Owners'!$I$13,'W Budget &amp; Owners'!$G$13*'W Sites'!$G$13,0)</f>
        <v>0</v>
      </c>
      <c r="Y43" s="112" t="n">
        <f aca="false">IF(SUM($G$36:$G$45)=0,0,'W Fees &amp; KPI'!$Q$9*G43/SUM($G$36:$G$45))</f>
        <v>0</v>
      </c>
      <c r="Z43" s="119" t="n">
        <f aca="false">IF(SUM($G$36:$G$45)=0,0,SUM('W Fees &amp; KPI'!$J$9,'W Fees &amp; KPI'!$M$9)*G43/SUM($G$36:$G$45))</f>
        <v>0</v>
      </c>
      <c r="AA43" s="117" t="n">
        <f aca="false">T43-U43-Z43-Y43</f>
        <v>0</v>
      </c>
      <c r="AB43" s="119" t="n">
        <f aca="false">IF('W Fees &amp; KPI'!$D$9=0,0,T43-U43-Z43)</f>
        <v>0</v>
      </c>
    </row>
    <row r="44" customFormat="false" ht="21" hidden="false" customHeight="true" outlineLevel="0" collapsed="false">
      <c r="C44" s="144" t="n">
        <f aca="false">46357</f>
        <v>46357</v>
      </c>
      <c r="D44" s="81" t="n">
        <f aca="false">1</f>
        <v>1</v>
      </c>
      <c r="E44" s="81" t="str">
        <f aca="false">'W Sites'!C14</f>
        <v>S09</v>
      </c>
      <c r="F44" s="145" t="n">
        <f aca="false">'W Sites'!$G$14*MAX(0,EOMONTH(C44,0)-MAX(C44,'W Sites'!$F$14)+1)/DAY(EOMONTH(C44,0))</f>
        <v>0</v>
      </c>
      <c r="G44" s="145" t="n">
        <f aca="false">'W Sites'!$G$14*MAX(0,EOMONTH(C44,0)-MAX(C44,'W Sites'!$F$14,'W Assumptions'!$D$58)+1)/DAY(EOMONTH(C44,0))</f>
        <v>0</v>
      </c>
      <c r="H44" s="81" t="n">
        <f aca="false">'W Sites'!$H$14*F44*'W Sites'!$I$14*IF(((YEAR(C44)-YEAR('W Sites'!$F$14))*12+MONTH(C44)-MONTH('W Sites'!$F$14))=0,'W Assumptions'!$D$62,IF(((YEAR(C44)-YEAR('W Sites'!$F$14))*12+MONTH(C44)-MONTH('W Sites'!$F$14))=1,'W Assumptions'!$D$63,1))*INDEX('W Assumptions'!$D$7:$F$7,1,D44)*INDEX('W Assumptions'!$D$32:$F$32,1,D44)*INDEX('W Assumptions'!$D$80:$D$91,MONTH(C44),1)/AVERAGE('W Assumptions'!$D$80:$D$91)</f>
        <v>0</v>
      </c>
      <c r="I44" s="81" t="n">
        <f aca="false">H44*'W Sites'!$J$14/(1+'W Assumptions'!$D$39)*INDEX('W Assumptions'!$D$12:$F$12,1,D44)*INDEX('W Assumptions'!$D$33:$F$33,1,D44)</f>
        <v>0</v>
      </c>
      <c r="J44" s="81" t="n">
        <f aca="false">H44*'W Sites'!$K$14/(1+'W Assumptions'!$D$39)*INDEX('W Assumptions'!$D$12:$F$12,1,D44)*INDEX('W Assumptions'!$D$33:$F$33,1,D44)</f>
        <v>0</v>
      </c>
      <c r="K44" s="81" t="n">
        <f aca="false">'W Sites'!$L$14*F44*IF(((YEAR(C44)-YEAR('W Sites'!$F$14))*12+MONTH(C44)-MONTH('W Sites'!$F$14))=0,'W Assumptions'!$D$62,IF(((YEAR(C44)-YEAR('W Sites'!$F$14))*12+MONTH(C44)-MONTH('W Sites'!$F$14))=1,'W Assumptions'!$D$63,1))*INDEX('W Assumptions'!$D$7:$F$7,1,D44)*INDEX('W Assumptions'!$D$32:$F$32,1,D44)</f>
        <v>0</v>
      </c>
      <c r="L44" s="81" t="n">
        <f aca="false">SUM(I44:K44)</f>
        <v>0</v>
      </c>
      <c r="M44" s="81" t="n">
        <f aca="false">'W Site Costs'!$I$14*F44*INDEX('W Assumptions'!$D$34:$F$34,1,D44)*INDEX('W Assumptions'!$D$22:$F$22,1,D44)</f>
        <v>0</v>
      </c>
      <c r="N44" s="81" t="n">
        <f aca="false">'W Site Costs'!$J$14*F44*INDEX('W Assumptions'!$D$35:$F$35,1,D44)*INDEX('W Assumptions'!$D$22:$F$22,1,D44)</f>
        <v>0</v>
      </c>
      <c r="O44" s="81" t="n">
        <f aca="false">L44*'W Site Costs'!$K$14</f>
        <v>0</v>
      </c>
      <c r="P44" s="81" t="n">
        <f aca="false">SUM('W Site Costs'!$L$14:$Q$14)*F44*INDEX('W Assumptions'!$D$35:$F$35,1,D44)*INDEX('W Assumptions'!$D$22:$F$22,1,D44)</f>
        <v>0</v>
      </c>
      <c r="Q44" s="81" t="n">
        <f aca="false">L44*'W Site Costs'!$R$14*INDEX('W Assumptions'!$D$17:$F$17,1,D44)</f>
        <v>0</v>
      </c>
      <c r="R44" s="112" t="n">
        <f aca="false">L44*'W Sites'!$M$14</f>
        <v>0</v>
      </c>
      <c r="S44" s="81" t="n">
        <f aca="false">SUM(M44:R44)</f>
        <v>0</v>
      </c>
      <c r="T44" s="81" t="n">
        <f aca="false">L44-S44</f>
        <v>0</v>
      </c>
      <c r="U44" s="81" t="n">
        <f aca="false">IF(C44='W Budget &amp; Owners'!$I$14,'W Budget &amp; Owners'!$F$14*'W Sites'!$G$14,0)</f>
        <v>0</v>
      </c>
      <c r="V44" s="81" t="n">
        <f aca="false">'W Sites'!$G$14*'W Budget &amp; Owners'!$E$14*INDEX('W Assumptions'!$D$27:$F$27,1,D44)*(IF(C44='W Budget &amp; Owners'!$I$14,'W Assumptions'!$D$65,0)+IF(C44=DATE(YEAR('W Sites'!$F$14),MONTH('W Sites'!$F$14),1),1-'W Assumptions'!$D$65,0))+'W Sites'!$G$14*'W Budget &amp; Owners'!$E$14*IF(C44=DATE(2027,9,1),'W Assumptions'!$D$67,IF(C44=DATE(2028,9,1),'W Assumptions'!$D$69,0))</f>
        <v>0</v>
      </c>
      <c r="W44" s="81" t="n">
        <f aca="false">IF(((YEAR(C44)-YEAR('W Sites'!$F$14))*12+MONTH(C44)-MONTH('W Sites'!$F$14))&lt;'W Budget &amp; Owners'!$H$14,'W Budget &amp; Owners'!$E$14/'W Budget &amp; Owners'!$H$14*F44,0)+IF(C44&gt;=DATE(2027,9,1),'W Budget &amp; Owners'!$E$14*'W Assumptions'!$D$67/'W Budget &amp; Owners'!$H$14*F44,0)+IF(C44&gt;=DATE(2028,9,1),'W Budget &amp; Owners'!$E$14*'W Assumptions'!$D$69/'W Budget &amp; Owners'!$H$14*F44,0)</f>
        <v>0</v>
      </c>
      <c r="X44" s="81" t="n">
        <f aca="false">IF(C44='W Budget &amp; Owners'!$I$14,'W Budget &amp; Owners'!$G$14*'W Sites'!$G$14,0)</f>
        <v>0</v>
      </c>
      <c r="Y44" s="112" t="n">
        <f aca="false">IF(SUM($G$36:$G$45)=0,0,'W Fees &amp; KPI'!$Q$9*G44/SUM($G$36:$G$45))</f>
        <v>0</v>
      </c>
      <c r="Z44" s="119" t="n">
        <f aca="false">IF(SUM($G$36:$G$45)=0,0,SUM('W Fees &amp; KPI'!$J$9,'W Fees &amp; KPI'!$M$9)*G44/SUM($G$36:$G$45))</f>
        <v>0</v>
      </c>
      <c r="AA44" s="117" t="n">
        <f aca="false">T44-U44-Z44-Y44</f>
        <v>0</v>
      </c>
      <c r="AB44" s="119" t="n">
        <f aca="false">IF('W Fees &amp; KPI'!$D$9=0,0,T44-U44-Z44)</f>
        <v>0</v>
      </c>
    </row>
    <row r="45" customFormat="false" ht="21" hidden="false" customHeight="true" outlineLevel="0" collapsed="false">
      <c r="C45" s="144" t="n">
        <f aca="false">46357</f>
        <v>46357</v>
      </c>
      <c r="D45" s="81" t="n">
        <f aca="false">1</f>
        <v>1</v>
      </c>
      <c r="E45" s="81" t="str">
        <f aca="false">'W Sites'!C15</f>
        <v>S10</v>
      </c>
      <c r="F45" s="145" t="n">
        <f aca="false">'W Sites'!$G$15*MAX(0,EOMONTH(C45,0)-MAX(C45,'W Sites'!$F$15)+1)/DAY(EOMONTH(C45,0))</f>
        <v>0</v>
      </c>
      <c r="G45" s="145" t="n">
        <f aca="false">'W Sites'!$G$15*MAX(0,EOMONTH(C45,0)-MAX(C45,'W Sites'!$F$15,'W Assumptions'!$D$58)+1)/DAY(EOMONTH(C45,0))</f>
        <v>0</v>
      </c>
      <c r="H45" s="81" t="n">
        <f aca="false">'W Sites'!$H$15*F45*'W Sites'!$I$15*IF(((YEAR(C45)-YEAR('W Sites'!$F$15))*12+MONTH(C45)-MONTH('W Sites'!$F$15))=0,'W Assumptions'!$D$62,IF(((YEAR(C45)-YEAR('W Sites'!$F$15))*12+MONTH(C45)-MONTH('W Sites'!$F$15))=1,'W Assumptions'!$D$63,1))*INDEX('W Assumptions'!$D$7:$F$7,1,D45)*INDEX('W Assumptions'!$D$32:$F$32,1,D45)*INDEX('W Assumptions'!$D$80:$D$91,MONTH(C45),1)/AVERAGE('W Assumptions'!$D$80:$D$91)</f>
        <v>0</v>
      </c>
      <c r="I45" s="81" t="n">
        <f aca="false">H45*'W Sites'!$J$15/(1+'W Assumptions'!$D$39)*INDEX('W Assumptions'!$D$12:$F$12,1,D45)*INDEX('W Assumptions'!$D$33:$F$33,1,D45)</f>
        <v>0</v>
      </c>
      <c r="J45" s="81" t="n">
        <f aca="false">H45*'W Sites'!$K$15/(1+'W Assumptions'!$D$39)*INDEX('W Assumptions'!$D$12:$F$12,1,D45)*INDEX('W Assumptions'!$D$33:$F$33,1,D45)</f>
        <v>0</v>
      </c>
      <c r="K45" s="81" t="n">
        <f aca="false">'W Sites'!$L$15*F45*IF(((YEAR(C45)-YEAR('W Sites'!$F$15))*12+MONTH(C45)-MONTH('W Sites'!$F$15))=0,'W Assumptions'!$D$62,IF(((YEAR(C45)-YEAR('W Sites'!$F$15))*12+MONTH(C45)-MONTH('W Sites'!$F$15))=1,'W Assumptions'!$D$63,1))*INDEX('W Assumptions'!$D$7:$F$7,1,D45)*INDEX('W Assumptions'!$D$32:$F$32,1,D45)</f>
        <v>0</v>
      </c>
      <c r="L45" s="81" t="n">
        <f aca="false">SUM(I45:K45)</f>
        <v>0</v>
      </c>
      <c r="M45" s="81" t="n">
        <f aca="false">'W Site Costs'!$I$15*F45*INDEX('W Assumptions'!$D$34:$F$34,1,D45)*INDEX('W Assumptions'!$D$22:$F$22,1,D45)</f>
        <v>0</v>
      </c>
      <c r="N45" s="81" t="n">
        <f aca="false">'W Site Costs'!$J$15*F45*INDEX('W Assumptions'!$D$35:$F$35,1,D45)*INDEX('W Assumptions'!$D$22:$F$22,1,D45)</f>
        <v>0</v>
      </c>
      <c r="O45" s="81" t="n">
        <f aca="false">L45*'W Site Costs'!$K$15</f>
        <v>0</v>
      </c>
      <c r="P45" s="81" t="n">
        <f aca="false">SUM('W Site Costs'!$L$15:$Q$15)*F45*INDEX('W Assumptions'!$D$35:$F$35,1,D45)*INDEX('W Assumptions'!$D$22:$F$22,1,D45)</f>
        <v>0</v>
      </c>
      <c r="Q45" s="81" t="n">
        <f aca="false">L45*'W Site Costs'!$R$15*INDEX('W Assumptions'!$D$17:$F$17,1,D45)</f>
        <v>0</v>
      </c>
      <c r="R45" s="112" t="n">
        <f aca="false">L45*'W Sites'!$M$15</f>
        <v>0</v>
      </c>
      <c r="S45" s="81" t="n">
        <f aca="false">SUM(M45:R45)</f>
        <v>0</v>
      </c>
      <c r="T45" s="81" t="n">
        <f aca="false">L45-S45</f>
        <v>0</v>
      </c>
      <c r="U45" s="81" t="n">
        <f aca="false">IF(C45='W Budget &amp; Owners'!$I$15,'W Budget &amp; Owners'!$F$15*'W Sites'!$G$15,0)</f>
        <v>0</v>
      </c>
      <c r="V45" s="81" t="n">
        <f aca="false">'W Sites'!$G$15*'W Budget &amp; Owners'!$E$15*INDEX('W Assumptions'!$D$27:$F$27,1,D45)*(IF(C45='W Budget &amp; Owners'!$I$15,'W Assumptions'!$D$65,0)+IF(C45=DATE(YEAR('W Sites'!$F$15),MONTH('W Sites'!$F$15),1),1-'W Assumptions'!$D$65,0))+'W Sites'!$G$15*'W Budget &amp; Owners'!$E$15*IF(C45=DATE(2027,9,1),'W Assumptions'!$D$67,IF(C45=DATE(2028,9,1),'W Assumptions'!$D$69,0))</f>
        <v>0</v>
      </c>
      <c r="W45" s="81" t="n">
        <f aca="false">IF(((YEAR(C45)-YEAR('W Sites'!$F$15))*12+MONTH(C45)-MONTH('W Sites'!$F$15))&lt;'W Budget &amp; Owners'!$H$15,'W Budget &amp; Owners'!$E$15/'W Budget &amp; Owners'!$H$15*F45,0)+IF(C45&gt;=DATE(2027,9,1),'W Budget &amp; Owners'!$E$15*'W Assumptions'!$D$67/'W Budget &amp; Owners'!$H$15*F45,0)+IF(C45&gt;=DATE(2028,9,1),'W Budget &amp; Owners'!$E$15*'W Assumptions'!$D$69/'W Budget &amp; Owners'!$H$15*F45,0)</f>
        <v>0</v>
      </c>
      <c r="X45" s="81" t="n">
        <f aca="false">IF(C45='W Budget &amp; Owners'!$I$15,'W Budget &amp; Owners'!$G$15*'W Sites'!$G$15,0)</f>
        <v>0</v>
      </c>
      <c r="Y45" s="112" t="n">
        <f aca="false">IF(SUM($G$36:$G$45)=0,0,'W Fees &amp; KPI'!$Q$9*G45/SUM($G$36:$G$45))</f>
        <v>0</v>
      </c>
      <c r="Z45" s="119" t="n">
        <f aca="false">IF(SUM($G$36:$G$45)=0,0,SUM('W Fees &amp; KPI'!$J$9,'W Fees &amp; KPI'!$M$9)*G45/SUM($G$36:$G$45))</f>
        <v>0</v>
      </c>
      <c r="AA45" s="117" t="n">
        <f aca="false">T45-U45-Z45-Y45</f>
        <v>0</v>
      </c>
      <c r="AB45" s="119" t="n">
        <f aca="false">IF('W Fees &amp; KPI'!$D$9=0,0,T45-U45-Z45)</f>
        <v>0</v>
      </c>
    </row>
    <row r="46" customFormat="false" ht="21" hidden="false" customHeight="true" outlineLevel="0" collapsed="false">
      <c r="C46" s="144" t="n">
        <f aca="false">46388</f>
        <v>46388</v>
      </c>
      <c r="D46" s="81" t="n">
        <f aca="false">1</f>
        <v>1</v>
      </c>
      <c r="E46" s="81" t="str">
        <f aca="false">'W Sites'!C6</f>
        <v>S01</v>
      </c>
      <c r="F46" s="145" t="n">
        <f aca="false">'W Sites'!$G$6*MAX(0,EOMONTH(C46,0)-MAX(C46,'W Sites'!$F$6)+1)/DAY(EOMONTH(C46,0))</f>
        <v>1</v>
      </c>
      <c r="G46" s="145" t="n">
        <f aca="false">'W Sites'!$G$6*MAX(0,EOMONTH(C46,0)-MAX(C46,'W Sites'!$F$6,'W Assumptions'!$D$58)+1)/DAY(EOMONTH(C46,0))</f>
        <v>1</v>
      </c>
      <c r="H46" s="81" t="n">
        <f aca="false">'W Sites'!$D$45*INDEX('W Sites'!$E$65:$E$76,MONTH(C46),1)/SUM('W Sites'!$E$65:$E$76)*F46*(1+'W Sites'!$D$56)^(D46-1)*INDEX('W Assumptions'!$D$7:$F$7,1,D46)</f>
        <v>4688</v>
      </c>
      <c r="I46" s="81" t="n">
        <f aca="false">H46*'W Sites'!$D$46/(1+'W Sites'!$D$54*'W Assumptions'!$D$39)*INDEX('W Assumptions'!$D$12:$F$12,1,D46)</f>
        <v>257840</v>
      </c>
      <c r="J46" s="81" t="n">
        <f aca="false">H46*SUM('W Sites'!$D$47:$D$49)/(1+'W Sites'!$D$54*'W Assumptions'!$D$39)*INDEX('W Assumptions'!$D$12:$F$12,1,D46)</f>
        <v>140640</v>
      </c>
      <c r="K46" s="81" t="n">
        <f aca="false">SUM('W Sites'!$D$50:$D$52)/12*F46*(1+'W Sites'!$D$56)^(D46-1)*INDEX('W Assumptions'!$D$7:$F$7,1,D46)*INDEX('W Assumptions'!$D$12:$F$12,1,D46)/(1+'W Sites'!$D$54*'W Assumptions'!$D$39)</f>
        <v>33333.3333333333</v>
      </c>
      <c r="L46" s="81" t="n">
        <f aca="false">SUM(I46:K46)</f>
        <v>431813.333333333</v>
      </c>
      <c r="M46" s="81" t="n">
        <f aca="false">('W Site Costs'!$I$6+INDEX('W Sites'!$F$65:$F$76,MONTH(C46),1)*'W Site Costs'!$V$6)*F46*(1+'W Sites'!$D$58)^(D46-1)*INDEX('W Assumptions'!$D$22:$F$22,1,D46)</f>
        <v>108500</v>
      </c>
      <c r="N46" s="81" t="n">
        <f aca="false">'W Site Costs'!$J$6*F46*INDEX('W Assumptions'!$D$35:$F$35,1,D46)*INDEX('W Assumptions'!$D$22:$F$22,1,D46)</f>
        <v>15000</v>
      </c>
      <c r="O46" s="81" t="n">
        <f aca="false">L46*'W Site Costs'!$K$6</f>
        <v>0</v>
      </c>
      <c r="P46" s="81" t="n">
        <f aca="false">(SUM('W Site Costs'!$L$6:$Q$6)+INDEX('W Sites'!$F$65:$F$76,MONTH(C46),1)*'W Site Costs'!$W$6)*F46*(1+'W Sites'!$D$58)^(D46-1)*INDEX('W Assumptions'!$D$22:$F$22,1,D46)</f>
        <v>74000</v>
      </c>
      <c r="Q46" s="81" t="n">
        <f aca="false">('W Site Costs'!$X$6+INDEX('W Sites'!$F$65:$F$76,MONTH(C46),1)*'W Site Costs'!$Y$6)*F46*(1+'W Sites'!$D$58)^(D46-1)*INDEX('W Assumptions'!$D$17:$F$17,1,D46)</f>
        <v>18000</v>
      </c>
      <c r="R46" s="112" t="n">
        <f aca="false">L46*'W Sites'!$M$6</f>
        <v>0</v>
      </c>
      <c r="S46" s="81" t="n">
        <f aca="false">SUM(M46:R46)</f>
        <v>215500</v>
      </c>
      <c r="T46" s="81" t="n">
        <f aca="false">L46-S46</f>
        <v>216313.333333333</v>
      </c>
      <c r="U46" s="81" t="n">
        <f aca="false">IF(C46='W Budget &amp; Owners'!$I$6,'W Budget &amp; Owners'!$F$6*'W Sites'!$G$6,0)</f>
        <v>0</v>
      </c>
      <c r="V46" s="81" t="n">
        <f aca="false">'W Sites'!$G$6*'W Budget &amp; Owners'!$E$6*INDEX('W Assumptions'!$D$27:$F$27,1,D46)*(IF(C46='W Budget &amp; Owners'!$I$6,'W Assumptions'!$D$65,0)+IF(C46=DATE(YEAR('W Sites'!$F$6),MONTH('W Sites'!$F$6),1),1-'W Assumptions'!$D$65,0))+'W Sites'!$G$6*'W Budget &amp; Owners'!$E$6*IF(C46=DATE(2027,9,1),'W Assumptions'!$D$67,IF(C46=DATE(2028,9,1),'W Assumptions'!$D$69,0))</f>
        <v>0</v>
      </c>
      <c r="W46" s="81" t="n">
        <f aca="false">IF(((YEAR(C46)-YEAR('W Sites'!$F$6))*12+MONTH(C46)-MONTH('W Sites'!$F$6))&lt;'W Budget &amp; Owners'!$H$6,'W Budget &amp; Owners'!$E$6/'W Budget &amp; Owners'!$H$6*F46,0)+IF(C46&gt;=DATE(2027,9,1),'W Budget &amp; Owners'!$E$6*'W Assumptions'!$D$67/'W Budget &amp; Owners'!$H$6*F46,0)+IF(C46&gt;=DATE(2028,9,1),'W Budget &amp; Owners'!$E$6*'W Assumptions'!$D$69/'W Budget &amp; Owners'!$H$6*F46,0)</f>
        <v>5833.33333333333</v>
      </c>
      <c r="X46" s="81" t="n">
        <f aca="false">IF(C46='W Budget &amp; Owners'!$I$6,'W Budget &amp; Owners'!$G$6*'W Sites'!$G$6,0)</f>
        <v>0</v>
      </c>
      <c r="Y46" s="112" t="n">
        <f aca="false">IF(SUM($G$46:$G$55)=0,0,'W Fees &amp; KPI'!$Q$10*G46/SUM($G$46:$G$55))</f>
        <v>1955.18188405797</v>
      </c>
      <c r="Z46" s="119" t="n">
        <f aca="false">IF(SUM($G$46:$G$55)=0,0,SUM('W Fees &amp; KPI'!$J$10,'W Fees &amp; KPI'!$M$10)*G46/SUM($G$46:$G$55))</f>
        <v>4670</v>
      </c>
      <c r="AA46" s="117" t="n">
        <f aca="false">T46-U46-Z46-Y46</f>
        <v>209688.151449275</v>
      </c>
      <c r="AB46" s="119" t="n">
        <f aca="false">IF('W Fees &amp; KPI'!$D$10=0,0,T46-U46-Z46)</f>
        <v>211643.333333333</v>
      </c>
    </row>
    <row r="47" customFormat="false" ht="21" hidden="false" customHeight="true" outlineLevel="0" collapsed="false">
      <c r="C47" s="144" t="n">
        <f aca="false">46388</f>
        <v>46388</v>
      </c>
      <c r="D47" s="81" t="n">
        <f aca="false">1</f>
        <v>1</v>
      </c>
      <c r="E47" s="81" t="str">
        <f aca="false">'W Sites'!C7</f>
        <v>S02</v>
      </c>
      <c r="F47" s="145" t="n">
        <f aca="false">'W Sites'!$G$7*MAX(0,EOMONTH(C47,0)-MAX(C47,'W Sites'!$F$7)+1)/DAY(EOMONTH(C47,0))</f>
        <v>1</v>
      </c>
      <c r="G47" s="145" t="n">
        <f aca="false">'W Sites'!$G$7*MAX(0,EOMONTH(C47,0)-MAX(C47,'W Sites'!$F$7,'W Assumptions'!$D$58)+1)/DAY(EOMONTH(C47,0))</f>
        <v>1</v>
      </c>
      <c r="H47" s="81" t="n">
        <f aca="false">'W Sites'!$H$7*F47*'W Sites'!$I$7*IF(((YEAR(C47)-YEAR('W Sites'!$F$7))*12+MONTH(C47)-MONTH('W Sites'!$F$7))=0,'W Assumptions'!$D$62,IF(((YEAR(C47)-YEAR('W Sites'!$F$7))*12+MONTH(C47)-MONTH('W Sites'!$F$7))=1,'W Assumptions'!$D$63,1))*INDEX('W Assumptions'!$D$7:$F$7,1,D47)*INDEX('W Assumptions'!$D$32:$F$32,1,D47)*INDEX('W Assumptions'!$D$80:$D$91,MONTH(C47),1)/AVERAGE('W Assumptions'!$D$80:$D$91)</f>
        <v>2205</v>
      </c>
      <c r="I47" s="81" t="n">
        <f aca="false">H47*'W Sites'!$J$7/(1+'W Assumptions'!$D$39)*INDEX('W Assumptions'!$D$12:$F$12,1,D47)*INDEX('W Assumptions'!$D$33:$F$33,1,D47)</f>
        <v>67108.6956521739</v>
      </c>
      <c r="J47" s="81" t="n">
        <f aca="false">H47*'W Sites'!$K$7/(1+'W Assumptions'!$D$39)*INDEX('W Assumptions'!$D$12:$F$12,1,D47)*INDEX('W Assumptions'!$D$33:$F$33,1,D47)</f>
        <v>5752.17391304348</v>
      </c>
      <c r="K47" s="81" t="n">
        <f aca="false">'W Sites'!$L$7*F47*IF(((YEAR(C47)-YEAR('W Sites'!$F$7))*12+MONTH(C47)-MONTH('W Sites'!$F$7))=0,'W Assumptions'!$D$62,IF(((YEAR(C47)-YEAR('W Sites'!$F$7))*12+MONTH(C47)-MONTH('W Sites'!$F$7))=1,'W Assumptions'!$D$63,1))*INDEX('W Assumptions'!$D$7:$F$7,1,D47)*INDEX('W Assumptions'!$D$32:$F$32,1,D47)</f>
        <v>5000</v>
      </c>
      <c r="L47" s="81" t="n">
        <f aca="false">SUM(I47:K47)</f>
        <v>77860.8695652174</v>
      </c>
      <c r="M47" s="81" t="n">
        <f aca="false">'W Site Costs'!$I$7*F47*INDEX('W Assumptions'!$D$34:$F$34,1,D47)*INDEX('W Assumptions'!$D$22:$F$22,1,D47)</f>
        <v>32450</v>
      </c>
      <c r="N47" s="81" t="n">
        <f aca="false">'W Site Costs'!$J$7*F47*INDEX('W Assumptions'!$D$35:$F$35,1,D47)*INDEX('W Assumptions'!$D$22:$F$22,1,D47)</f>
        <v>0</v>
      </c>
      <c r="O47" s="81" t="n">
        <f aca="false">L47*'W Site Costs'!$K$7</f>
        <v>11679.1304347826</v>
      </c>
      <c r="P47" s="81" t="n">
        <f aca="false">SUM('W Site Costs'!$L$7:$Q$7)*F47*INDEX('W Assumptions'!$D$35:$F$35,1,D47)*INDEX('W Assumptions'!$D$22:$F$22,1,D47)</f>
        <v>11700</v>
      </c>
      <c r="Q47" s="81" t="n">
        <f aca="false">L47*'W Site Costs'!$R$7*INDEX('W Assumptions'!$D$17:$F$17,1,D47)</f>
        <v>4671.65217391304</v>
      </c>
      <c r="R47" s="112" t="n">
        <f aca="false">L47*'W Sites'!$M$7</f>
        <v>0</v>
      </c>
      <c r="S47" s="81" t="n">
        <f aca="false">SUM(M47:R47)</f>
        <v>60500.7826086957</v>
      </c>
      <c r="T47" s="81" t="n">
        <f aca="false">L47-S47</f>
        <v>17360.0869565217</v>
      </c>
      <c r="U47" s="81" t="n">
        <f aca="false">IF(C47='W Budget &amp; Owners'!$I$7,'W Budget &amp; Owners'!$F$7*'W Sites'!$G$7,0)</f>
        <v>0</v>
      </c>
      <c r="V47" s="81" t="n">
        <f aca="false">'W Sites'!$G$7*'W Budget &amp; Owners'!$E$7*INDEX('W Assumptions'!$D$27:$F$27,1,D47)*(IF(C47='W Budget &amp; Owners'!$I$7,'W Assumptions'!$D$65,0)+IF(C47=DATE(YEAR('W Sites'!$F$7),MONTH('W Sites'!$F$7),1),1-'W Assumptions'!$D$65,0))+'W Sites'!$G$7*'W Budget &amp; Owners'!$E$7*IF(C47=DATE(2027,9,1),'W Assumptions'!$D$67,IF(C47=DATE(2028,9,1),'W Assumptions'!$D$69,0))</f>
        <v>0</v>
      </c>
      <c r="W47" s="81" t="n">
        <f aca="false">IF(((YEAR(C47)-YEAR('W Sites'!$F$7))*12+MONTH(C47)-MONTH('W Sites'!$F$7))&lt;'W Budget &amp; Owners'!$H$7,'W Budget &amp; Owners'!$E$7/'W Budget &amp; Owners'!$H$7*F47,0)+IF(C47&gt;=DATE(2027,9,1),'W Budget &amp; Owners'!$E$7*'W Assumptions'!$D$67/'W Budget &amp; Owners'!$H$7*F47,0)+IF(C47&gt;=DATE(2028,9,1),'W Budget &amp; Owners'!$E$7*'W Assumptions'!$D$69/'W Budget &amp; Owners'!$H$7*F47,0)</f>
        <v>1333.33333333333</v>
      </c>
      <c r="X47" s="81" t="n">
        <f aca="false">IF(C47='W Budget &amp; Owners'!$I$7,'W Budget &amp; Owners'!$G$7*'W Sites'!$G$7,0)</f>
        <v>0</v>
      </c>
      <c r="Y47" s="112" t="n">
        <f aca="false">IF(SUM($G$46:$G$55)=0,0,'W Fees &amp; KPI'!$Q$10*G47/SUM($G$46:$G$55))</f>
        <v>1955.18188405797</v>
      </c>
      <c r="Z47" s="119" t="n">
        <f aca="false">IF(SUM($G$46:$G$55)=0,0,SUM('W Fees &amp; KPI'!$J$10,'W Fees &amp; KPI'!$M$10)*G47/SUM($G$46:$G$55))</f>
        <v>4670</v>
      </c>
      <c r="AA47" s="117" t="n">
        <f aca="false">T47-U47-Z47-Y47</f>
        <v>10734.9050724638</v>
      </c>
      <c r="AB47" s="119" t="n">
        <f aca="false">IF('W Fees &amp; KPI'!$D$10=0,0,T47-U47-Z47)</f>
        <v>12690.0869565217</v>
      </c>
    </row>
    <row r="48" customFormat="false" ht="21" hidden="false" customHeight="true" outlineLevel="0" collapsed="false">
      <c r="C48" s="144" t="n">
        <f aca="false">46388</f>
        <v>46388</v>
      </c>
      <c r="D48" s="81" t="n">
        <f aca="false">1</f>
        <v>1</v>
      </c>
      <c r="E48" s="81" t="str">
        <f aca="false">'W Sites'!C8</f>
        <v>S03</v>
      </c>
      <c r="F48" s="145" t="n">
        <f aca="false">'W Sites'!$G$8*MAX(0,EOMONTH(C48,0)-MAX(C48,'W Sites'!$F$8)+1)/DAY(EOMONTH(C48,0))</f>
        <v>1</v>
      </c>
      <c r="G48" s="145" t="n">
        <f aca="false">'W Sites'!$G$8*MAX(0,EOMONTH(C48,0)-MAX(C48,'W Sites'!$F$8,'W Assumptions'!$D$58)+1)/DAY(EOMONTH(C48,0))</f>
        <v>1</v>
      </c>
      <c r="H48" s="81" t="n">
        <f aca="false">'W Sites'!$H$8*F48*'W Sites'!$I$8*IF(((YEAR(C48)-YEAR('W Sites'!$F$8))*12+MONTH(C48)-MONTH('W Sites'!$F$8))=0,'W Assumptions'!$D$62,IF(((YEAR(C48)-YEAR('W Sites'!$F$8))*12+MONTH(C48)-MONTH('W Sites'!$F$8))=1,'W Assumptions'!$D$63,1))*INDEX('W Assumptions'!$D$7:$F$7,1,D48)*INDEX('W Assumptions'!$D$32:$F$32,1,D48)*INDEX('W Assumptions'!$D$80:$D$91,MONTH(C48),1)/AVERAGE('W Assumptions'!$D$80:$D$91)</f>
        <v>1786.43835616438</v>
      </c>
      <c r="I48" s="81" t="n">
        <f aca="false">H48*'W Sites'!$J$8/(1+'W Assumptions'!$D$39)*INDEX('W Assumptions'!$D$12:$F$12,1,D48)*INDEX('W Assumptions'!$D$33:$F$33,1,D48)</f>
        <v>100972.602739726</v>
      </c>
      <c r="J48" s="81" t="n">
        <f aca="false">H48*'W Sites'!$K$8/(1+'W Assumptions'!$D$39)*INDEX('W Assumptions'!$D$12:$F$12,1,D48)*INDEX('W Assumptions'!$D$33:$F$33,1,D48)</f>
        <v>12427.397260274</v>
      </c>
      <c r="K48" s="81" t="n">
        <f aca="false">'W Sites'!$L$8*F48*IF(((YEAR(C48)-YEAR('W Sites'!$F$8))*12+MONTH(C48)-MONTH('W Sites'!$F$8))=0,'W Assumptions'!$D$62,IF(((YEAR(C48)-YEAR('W Sites'!$F$8))*12+MONTH(C48)-MONTH('W Sites'!$F$8))=1,'W Assumptions'!$D$63,1))*INDEX('W Assumptions'!$D$7:$F$7,1,D48)*INDEX('W Assumptions'!$D$32:$F$32,1,D48)</f>
        <v>12000</v>
      </c>
      <c r="L48" s="81" t="n">
        <f aca="false">SUM(I48:K48)</f>
        <v>125400</v>
      </c>
      <c r="M48" s="81" t="n">
        <f aca="false">'W Site Costs'!$I$8*F48*INDEX('W Assumptions'!$D$34:$F$34,1,D48)*INDEX('W Assumptions'!$D$22:$F$22,1,D48)</f>
        <v>48026</v>
      </c>
      <c r="N48" s="81" t="n">
        <f aca="false">'W Site Costs'!$J$8*F48*INDEX('W Assumptions'!$D$35:$F$35,1,D48)*INDEX('W Assumptions'!$D$22:$F$22,1,D48)</f>
        <v>35000</v>
      </c>
      <c r="O48" s="81" t="n">
        <f aca="false">L48*'W Site Costs'!$K$8</f>
        <v>0</v>
      </c>
      <c r="P48" s="81" t="n">
        <f aca="false">SUM('W Site Costs'!$L$8:$Q$8)*F48*INDEX('W Assumptions'!$D$35:$F$35,1,D48)*INDEX('W Assumptions'!$D$22:$F$22,1,D48)</f>
        <v>19500</v>
      </c>
      <c r="Q48" s="81" t="n">
        <f aca="false">L48*'W Site Costs'!$R$8*INDEX('W Assumptions'!$D$17:$F$17,1,D48)</f>
        <v>10032</v>
      </c>
      <c r="R48" s="112" t="n">
        <f aca="false">L48*'W Sites'!$M$8</f>
        <v>0</v>
      </c>
      <c r="S48" s="81" t="n">
        <f aca="false">SUM(M48:R48)</f>
        <v>112558</v>
      </c>
      <c r="T48" s="81" t="n">
        <f aca="false">L48-S48</f>
        <v>12842</v>
      </c>
      <c r="U48" s="81" t="n">
        <f aca="false">IF(C48='W Budget &amp; Owners'!$I$8,'W Budget &amp; Owners'!$F$8*'W Sites'!$G$8,0)</f>
        <v>0</v>
      </c>
      <c r="V48" s="81" t="n">
        <f aca="false">'W Sites'!$G$8*'W Budget &amp; Owners'!$E$8*INDEX('W Assumptions'!$D$27:$F$27,1,D48)*(IF(C48='W Budget &amp; Owners'!$I$8,'W Assumptions'!$D$65,0)+IF(C48=DATE(YEAR('W Sites'!$F$8),MONTH('W Sites'!$F$8),1),1-'W Assumptions'!$D$65,0))+'W Sites'!$G$8*'W Budget &amp; Owners'!$E$8*IF(C48=DATE(2027,9,1),'W Assumptions'!$D$67,IF(C48=DATE(2028,9,1),'W Assumptions'!$D$69,0))</f>
        <v>240000</v>
      </c>
      <c r="W48" s="81" t="n">
        <f aca="false">IF(((YEAR(C48)-YEAR('W Sites'!$F$8))*12+MONTH(C48)-MONTH('W Sites'!$F$8))&lt;'W Budget &amp; Owners'!$H$8,'W Budget &amp; Owners'!$E$8/'W Budget &amp; Owners'!$H$8*F48,0)+IF(C48&gt;=DATE(2027,9,1),'W Budget &amp; Owners'!$E$8*'W Assumptions'!$D$67/'W Budget &amp; Owners'!$H$8*F48,0)+IF(C48&gt;=DATE(2028,9,1),'W Budget &amp; Owners'!$E$8*'W Assumptions'!$D$69/'W Budget &amp; Owners'!$H$8*F48,0)</f>
        <v>10000</v>
      </c>
      <c r="X48" s="81" t="n">
        <f aca="false">IF(C48='W Budget &amp; Owners'!$I$8,'W Budget &amp; Owners'!$G$8*'W Sites'!$G$8,0)</f>
        <v>0</v>
      </c>
      <c r="Y48" s="112" t="n">
        <f aca="false">IF(SUM($G$46:$G$55)=0,0,'W Fees &amp; KPI'!$Q$10*G48/SUM($G$46:$G$55))</f>
        <v>1955.18188405797</v>
      </c>
      <c r="Z48" s="119" t="n">
        <f aca="false">IF(SUM($G$46:$G$55)=0,0,SUM('W Fees &amp; KPI'!$J$10,'W Fees &amp; KPI'!$M$10)*G48/SUM($G$46:$G$55))</f>
        <v>4670</v>
      </c>
      <c r="AA48" s="117" t="n">
        <f aca="false">T48-U48-Z48-Y48</f>
        <v>6216.81811594206</v>
      </c>
      <c r="AB48" s="119" t="n">
        <f aca="false">IF('W Fees &amp; KPI'!$D$10=0,0,T48-U48-Z48)</f>
        <v>8172.00000000003</v>
      </c>
    </row>
    <row r="49" customFormat="false" ht="21" hidden="false" customHeight="true" outlineLevel="0" collapsed="false">
      <c r="C49" s="144" t="n">
        <f aca="false">46388</f>
        <v>46388</v>
      </c>
      <c r="D49" s="81" t="n">
        <f aca="false">1</f>
        <v>1</v>
      </c>
      <c r="E49" s="81" t="str">
        <f aca="false">'W Sites'!C9</f>
        <v>S04</v>
      </c>
      <c r="F49" s="145" t="n">
        <f aca="false">'W Sites'!$G$9*MAX(0,EOMONTH(C49,0)-MAX(C49,'W Sites'!$F$9)+1)/DAY(EOMONTH(C49,0))</f>
        <v>1</v>
      </c>
      <c r="G49" s="145" t="n">
        <f aca="false">'W Sites'!$G$9*MAX(0,EOMONTH(C49,0)-MAX(C49,'W Sites'!$F$9,'W Assumptions'!$D$58)+1)/DAY(EOMONTH(C49,0))</f>
        <v>1</v>
      </c>
      <c r="H49" s="81" t="n">
        <f aca="false">'W Sites'!$H$9*F49*'W Sites'!$I$9*IF(((YEAR(C49)-YEAR('W Sites'!$F$9))*12+MONTH(C49)-MONTH('W Sites'!$F$9))=0,'W Assumptions'!$D$62,IF(((YEAR(C49)-YEAR('W Sites'!$F$9))*12+MONTH(C49)-MONTH('W Sites'!$F$9))=1,'W Assumptions'!$D$63,1))*INDEX('W Assumptions'!$D$7:$F$7,1,D49)*INDEX('W Assumptions'!$D$32:$F$32,1,D49)*INDEX('W Assumptions'!$D$80:$D$91,MONTH(C49),1)/AVERAGE('W Assumptions'!$D$80:$D$91)</f>
        <v>2096.35416666667</v>
      </c>
      <c r="I49" s="81" t="n">
        <f aca="false">H49*'W Sites'!$J$9/(1+'W Assumptions'!$D$39)*INDEX('W Assumptions'!$D$12:$F$12,1,D49)*INDEX('W Assumptions'!$D$33:$F$33,1,D49)</f>
        <v>118489.583333333</v>
      </c>
      <c r="J49" s="81" t="n">
        <f aca="false">H49*'W Sites'!$K$9/(1+'W Assumptions'!$D$39)*INDEX('W Assumptions'!$D$12:$F$12,1,D49)*INDEX('W Assumptions'!$D$33:$F$33,1,D49)</f>
        <v>12760.4166666667</v>
      </c>
      <c r="K49" s="81" t="n">
        <f aca="false">'W Sites'!$L$9*F49*IF(((YEAR(C49)-YEAR('W Sites'!$F$9))*12+MONTH(C49)-MONTH('W Sites'!$F$9))=0,'W Assumptions'!$D$62,IF(((YEAR(C49)-YEAR('W Sites'!$F$9))*12+MONTH(C49)-MONTH('W Sites'!$F$9))=1,'W Assumptions'!$D$63,1))*INDEX('W Assumptions'!$D$7:$F$7,1,D49)*INDEX('W Assumptions'!$D$32:$F$32,1,D49)</f>
        <v>15000</v>
      </c>
      <c r="L49" s="81" t="n">
        <f aca="false">SUM(I49:K49)</f>
        <v>146250</v>
      </c>
      <c r="M49" s="81" t="n">
        <f aca="false">'W Site Costs'!$I$9*F49*INDEX('W Assumptions'!$D$34:$F$34,1,D49)*INDEX('W Assumptions'!$D$22:$F$22,1,D49)</f>
        <v>37760</v>
      </c>
      <c r="N49" s="81" t="n">
        <f aca="false">'W Site Costs'!$J$9*F49*INDEX('W Assumptions'!$D$35:$F$35,1,D49)*INDEX('W Assumptions'!$D$22:$F$22,1,D49)</f>
        <v>22000</v>
      </c>
      <c r="O49" s="81" t="n">
        <f aca="false">L49*'W Site Costs'!$K$9</f>
        <v>0</v>
      </c>
      <c r="P49" s="81" t="n">
        <f aca="false">SUM('W Site Costs'!$L$9:$Q$9)*F49*INDEX('W Assumptions'!$D$35:$F$35,1,D49)*INDEX('W Assumptions'!$D$22:$F$22,1,D49)</f>
        <v>15500</v>
      </c>
      <c r="Q49" s="81" t="n">
        <f aca="false">L49*'W Site Costs'!$R$9*INDEX('W Assumptions'!$D$17:$F$17,1,D49)</f>
        <v>11700</v>
      </c>
      <c r="R49" s="112" t="n">
        <f aca="false">L49*'W Sites'!$M$9</f>
        <v>0</v>
      </c>
      <c r="S49" s="81" t="n">
        <f aca="false">SUM(M49:R49)</f>
        <v>86960</v>
      </c>
      <c r="T49" s="81" t="n">
        <f aca="false">L49-S49</f>
        <v>59290</v>
      </c>
      <c r="U49" s="81" t="n">
        <f aca="false">IF(C49='W Budget &amp; Owners'!$I$9,'W Budget &amp; Owners'!$F$9*'W Sites'!$G$9,0)</f>
        <v>0</v>
      </c>
      <c r="V49" s="81" t="n">
        <f aca="false">'W Sites'!$G$9*'W Budget &amp; Owners'!$E$9*INDEX('W Assumptions'!$D$27:$F$27,1,D49)*(IF(C49='W Budget &amp; Owners'!$I$9,'W Assumptions'!$D$65,0)+IF(C49=DATE(YEAR('W Sites'!$F$9),MONTH('W Sites'!$F$9),1),1-'W Assumptions'!$D$65,0))+'W Sites'!$G$9*'W Budget &amp; Owners'!$E$9*IF(C49=DATE(2027,9,1),'W Assumptions'!$D$67,IF(C49=DATE(2028,9,1),'W Assumptions'!$D$69,0))</f>
        <v>0</v>
      </c>
      <c r="W49" s="81" t="n">
        <f aca="false">IF(((YEAR(C49)-YEAR('W Sites'!$F$9))*12+MONTH(C49)-MONTH('W Sites'!$F$9))&lt;'W Budget &amp; Owners'!$H$9,'W Budget &amp; Owners'!$E$9/'W Budget &amp; Owners'!$H$9*F49,0)+IF(C49&gt;=DATE(2027,9,1),'W Budget &amp; Owners'!$E$9*'W Assumptions'!$D$67/'W Budget &amp; Owners'!$H$9*F49,0)+IF(C49&gt;=DATE(2028,9,1),'W Budget &amp; Owners'!$E$9*'W Assumptions'!$D$69/'W Budget &amp; Owners'!$H$9*F49,0)</f>
        <v>8333.33333333333</v>
      </c>
      <c r="X49" s="81" t="n">
        <f aca="false">IF(C49='W Budget &amp; Owners'!$I$9,'W Budget &amp; Owners'!$G$9*'W Sites'!$G$9,0)</f>
        <v>0</v>
      </c>
      <c r="Y49" s="112" t="n">
        <f aca="false">IF(SUM($G$46:$G$55)=0,0,'W Fees &amp; KPI'!$Q$10*G49/SUM($G$46:$G$55))</f>
        <v>1955.18188405797</v>
      </c>
      <c r="Z49" s="119" t="n">
        <f aca="false">IF(SUM($G$46:$G$55)=0,0,SUM('W Fees &amp; KPI'!$J$10,'W Fees &amp; KPI'!$M$10)*G49/SUM($G$46:$G$55))</f>
        <v>4670</v>
      </c>
      <c r="AA49" s="117" t="n">
        <f aca="false">T49-U49-Z49-Y49</f>
        <v>52664.8181159421</v>
      </c>
      <c r="AB49" s="119" t="n">
        <f aca="false">IF('W Fees &amp; KPI'!$D$10=0,0,T49-U49-Z49)</f>
        <v>54620</v>
      </c>
    </row>
    <row r="50" customFormat="false" ht="21" hidden="false" customHeight="true" outlineLevel="0" collapsed="false">
      <c r="C50" s="144" t="n">
        <f aca="false">46388</f>
        <v>46388</v>
      </c>
      <c r="D50" s="81" t="n">
        <f aca="false">1</f>
        <v>1</v>
      </c>
      <c r="E50" s="81" t="str">
        <f aca="false">'W Sites'!C10</f>
        <v>S05</v>
      </c>
      <c r="F50" s="145" t="n">
        <f aca="false">'W Sites'!$G$10*MAX(0,EOMONTH(C50,0)-MAX(C50,'W Sites'!$F$10)+1)/DAY(EOMONTH(C50,0))</f>
        <v>1</v>
      </c>
      <c r="G50" s="145" t="n">
        <f aca="false">'W Sites'!$G$10*MAX(0,EOMONTH(C50,0)-MAX(C50,'W Sites'!$F$10,'W Assumptions'!$D$58)+1)/DAY(EOMONTH(C50,0))</f>
        <v>1</v>
      </c>
      <c r="H50" s="81" t="n">
        <f aca="false">'W Sites'!$H$10*F50*'W Sites'!$I$10*IF(((YEAR(C50)-YEAR('W Sites'!$F$10))*12+MONTH(C50)-MONTH('W Sites'!$F$10))=0,'W Assumptions'!$D$62,IF(((YEAR(C50)-YEAR('W Sites'!$F$10))*12+MONTH(C50)-MONTH('W Sites'!$F$10))=1,'W Assumptions'!$D$63,1))*INDEX('W Assumptions'!$D$7:$F$7,1,D50)*INDEX('W Assumptions'!$D$32:$F$32,1,D50)*INDEX('W Assumptions'!$D$80:$D$91,MONTH(C50),1)/AVERAGE('W Assumptions'!$D$80:$D$91)</f>
        <v>2143.72602739726</v>
      </c>
      <c r="I50" s="81" t="n">
        <f aca="false">H50*'W Sites'!$J$10/(1+'W Assumptions'!$D$39)*INDEX('W Assumptions'!$D$12:$F$12,1,D50)*INDEX('W Assumptions'!$D$33:$F$33,1,D50)</f>
        <v>121167.123287671</v>
      </c>
      <c r="J50" s="81" t="n">
        <f aca="false">H50*'W Sites'!$K$10/(1+'W Assumptions'!$D$39)*INDEX('W Assumptions'!$D$12:$F$12,1,D50)*INDEX('W Assumptions'!$D$33:$F$33,1,D50)</f>
        <v>14912.8767123288</v>
      </c>
      <c r="K50" s="81" t="n">
        <f aca="false">'W Sites'!$L$10*F50*IF(((YEAR(C50)-YEAR('W Sites'!$F$10))*12+MONTH(C50)-MONTH('W Sites'!$F$10))=0,'W Assumptions'!$D$62,IF(((YEAR(C50)-YEAR('W Sites'!$F$10))*12+MONTH(C50)-MONTH('W Sites'!$F$10))=1,'W Assumptions'!$D$63,1))*INDEX('W Assumptions'!$D$7:$F$7,1,D50)*INDEX('W Assumptions'!$D$32:$F$32,1,D50)</f>
        <v>14400</v>
      </c>
      <c r="L50" s="81" t="n">
        <f aca="false">SUM(I50:K50)</f>
        <v>150480</v>
      </c>
      <c r="M50" s="81" t="n">
        <f aca="false">'W Site Costs'!$I$10*F50*INDEX('W Assumptions'!$D$34:$F$34,1,D50)*INDEX('W Assumptions'!$D$22:$F$22,1,D50)</f>
        <v>48026</v>
      </c>
      <c r="N50" s="81" t="n">
        <f aca="false">'W Site Costs'!$J$10*F50*INDEX('W Assumptions'!$D$35:$F$35,1,D50)*INDEX('W Assumptions'!$D$22:$F$22,1,D50)</f>
        <v>30000</v>
      </c>
      <c r="O50" s="81" t="n">
        <f aca="false">L50*'W Site Costs'!$K$10</f>
        <v>0</v>
      </c>
      <c r="P50" s="81" t="n">
        <f aca="false">SUM('W Site Costs'!$L$10:$Q$10)*F50*INDEX('W Assumptions'!$D$35:$F$35,1,D50)*INDEX('W Assumptions'!$D$22:$F$22,1,D50)</f>
        <v>19000</v>
      </c>
      <c r="Q50" s="81" t="n">
        <f aca="false">L50*'W Site Costs'!$R$10*INDEX('W Assumptions'!$D$17:$F$17,1,D50)</f>
        <v>12038.4</v>
      </c>
      <c r="R50" s="112" t="n">
        <f aca="false">L50*'W Sites'!$M$10</f>
        <v>0</v>
      </c>
      <c r="S50" s="81" t="n">
        <f aca="false">SUM(M50:R50)</f>
        <v>109064.4</v>
      </c>
      <c r="T50" s="81" t="n">
        <f aca="false">L50-S50</f>
        <v>41415.6</v>
      </c>
      <c r="U50" s="81" t="n">
        <f aca="false">IF(C50='W Budget &amp; Owners'!$I$10,'W Budget &amp; Owners'!$F$10*'W Sites'!$G$10,0)</f>
        <v>0</v>
      </c>
      <c r="V50" s="81" t="n">
        <f aca="false">'W Sites'!$G$10*'W Budget &amp; Owners'!$E$10*INDEX('W Assumptions'!$D$27:$F$27,1,D50)*(IF(C50='W Budget &amp; Owners'!$I$10,'W Assumptions'!$D$65,0)+IF(C50=DATE(YEAR('W Sites'!$F$10),MONTH('W Sites'!$F$10),1),1-'W Assumptions'!$D$65,0))+'W Sites'!$G$10*'W Budget &amp; Owners'!$E$10*IF(C50=DATE(2027,9,1),'W Assumptions'!$D$67,IF(C50=DATE(2028,9,1),'W Assumptions'!$D$69,0))</f>
        <v>0</v>
      </c>
      <c r="W50" s="81" t="n">
        <f aca="false">IF(((YEAR(C50)-YEAR('W Sites'!$F$10))*12+MONTH(C50)-MONTH('W Sites'!$F$10))&lt;'W Budget &amp; Owners'!$H$10,'W Budget &amp; Owners'!$E$10/'W Budget &amp; Owners'!$H$10*F50,0)+IF(C50&gt;=DATE(2027,9,1),'W Budget &amp; Owners'!$E$10*'W Assumptions'!$D$67/'W Budget &amp; Owners'!$H$10*F50,0)+IF(C50&gt;=DATE(2028,9,1),'W Budget &amp; Owners'!$E$10*'W Assumptions'!$D$69/'W Budget &amp; Owners'!$H$10*F50,0)</f>
        <v>12500</v>
      </c>
      <c r="X50" s="81" t="n">
        <f aca="false">IF(C50='W Budget &amp; Owners'!$I$10,'W Budget &amp; Owners'!$G$10*'W Sites'!$G$10,0)</f>
        <v>0</v>
      </c>
      <c r="Y50" s="112" t="n">
        <f aca="false">IF(SUM($G$46:$G$55)=0,0,'W Fees &amp; KPI'!$Q$10*G50/SUM($G$46:$G$55))</f>
        <v>1955.18188405797</v>
      </c>
      <c r="Z50" s="119" t="n">
        <f aca="false">IF(SUM($G$46:$G$55)=0,0,SUM('W Fees &amp; KPI'!$J$10,'W Fees &amp; KPI'!$M$10)*G50/SUM($G$46:$G$55))</f>
        <v>4670</v>
      </c>
      <c r="AA50" s="117" t="n">
        <f aca="false">T50-U50-Z50-Y50</f>
        <v>34790.4181159421</v>
      </c>
      <c r="AB50" s="119" t="n">
        <f aca="false">IF('W Fees &amp; KPI'!$D$10=0,0,T50-U50-Z50)</f>
        <v>36745.6</v>
      </c>
    </row>
    <row r="51" customFormat="false" ht="21" hidden="false" customHeight="true" outlineLevel="0" collapsed="false">
      <c r="C51" s="144" t="n">
        <f aca="false">46388</f>
        <v>46388</v>
      </c>
      <c r="D51" s="81" t="n">
        <f aca="false">1</f>
        <v>1</v>
      </c>
      <c r="E51" s="81" t="str">
        <f aca="false">'W Sites'!C11</f>
        <v>S06</v>
      </c>
      <c r="F51" s="145" t="n">
        <f aca="false">'W Sites'!$G$11*MAX(0,EOMONTH(C51,0)-MAX(C51,'W Sites'!$F$11)+1)/DAY(EOMONTH(C51,0))</f>
        <v>1</v>
      </c>
      <c r="G51" s="145" t="n">
        <f aca="false">'W Sites'!$G$11*MAX(0,EOMONTH(C51,0)-MAX(C51,'W Sites'!$F$11,'W Assumptions'!$D$58)+1)/DAY(EOMONTH(C51,0))</f>
        <v>1</v>
      </c>
      <c r="H51" s="81" t="n">
        <f aca="false">'W Sites'!$H$11*F51*'W Sites'!$I$11*IF(((YEAR(C51)-YEAR('W Sites'!$F$11))*12+MONTH(C51)-MONTH('W Sites'!$F$11))=0,'W Assumptions'!$D$62,IF(((YEAR(C51)-YEAR('W Sites'!$F$11))*12+MONTH(C51)-MONTH('W Sites'!$F$11))=1,'W Assumptions'!$D$63,1))*INDEX('W Assumptions'!$D$7:$F$7,1,D51)*INDEX('W Assumptions'!$D$32:$F$32,1,D51)*INDEX('W Assumptions'!$D$80:$D$91,MONTH(C51),1)/AVERAGE('W Assumptions'!$D$80:$D$91)</f>
        <v>819</v>
      </c>
      <c r="I51" s="81" t="n">
        <f aca="false">H51*'W Sites'!$J$11/(1+'W Assumptions'!$D$39)*INDEX('W Assumptions'!$D$12:$F$12,1,D51)*INDEX('W Assumptions'!$D$33:$F$33,1,D51)</f>
        <v>42730.4347826087</v>
      </c>
      <c r="J51" s="81" t="n">
        <f aca="false">H51*'W Sites'!$K$11/(1+'W Assumptions'!$D$39)*INDEX('W Assumptions'!$D$12:$F$12,1,D51)*INDEX('W Assumptions'!$D$33:$F$33,1,D51)</f>
        <v>2136.52173913044</v>
      </c>
      <c r="K51" s="81" t="n">
        <f aca="false">'W Sites'!$L$11*F51*IF(((YEAR(C51)-YEAR('W Sites'!$F$11))*12+MONTH(C51)-MONTH('W Sites'!$F$11))=0,'W Assumptions'!$D$62,IF(((YEAR(C51)-YEAR('W Sites'!$F$11))*12+MONTH(C51)-MONTH('W Sites'!$F$11))=1,'W Assumptions'!$D$63,1))*INDEX('W Assumptions'!$D$7:$F$7,1,D51)*INDEX('W Assumptions'!$D$32:$F$32,1,D51)</f>
        <v>20000</v>
      </c>
      <c r="L51" s="81" t="n">
        <f aca="false">SUM(I51:K51)</f>
        <v>64866.9565217391</v>
      </c>
      <c r="M51" s="81" t="n">
        <f aca="false">'W Site Costs'!$I$11*F51*INDEX('W Assumptions'!$D$34:$F$34,1,D51)*INDEX('W Assumptions'!$D$22:$F$22,1,D51)</f>
        <v>23836</v>
      </c>
      <c r="N51" s="81" t="n">
        <f aca="false">'W Site Costs'!$J$11*F51*INDEX('W Assumptions'!$D$35:$F$35,1,D51)*INDEX('W Assumptions'!$D$22:$F$22,1,D51)</f>
        <v>5000</v>
      </c>
      <c r="O51" s="81" t="n">
        <f aca="false">L51*'W Site Costs'!$K$11</f>
        <v>0</v>
      </c>
      <c r="P51" s="81" t="n">
        <f aca="false">SUM('W Site Costs'!$L$11:$Q$11)*F51*INDEX('W Assumptions'!$D$35:$F$35,1,D51)*INDEX('W Assumptions'!$D$22:$F$22,1,D51)</f>
        <v>8000</v>
      </c>
      <c r="Q51" s="81" t="n">
        <f aca="false">L51*'W Site Costs'!$R$11*INDEX('W Assumptions'!$D$17:$F$17,1,D51)</f>
        <v>6486.69565217391</v>
      </c>
      <c r="R51" s="112" t="n">
        <f aca="false">L51*'W Sites'!$M$11</f>
        <v>0</v>
      </c>
      <c r="S51" s="81" t="n">
        <f aca="false">SUM(M51:R51)</f>
        <v>43322.6956521739</v>
      </c>
      <c r="T51" s="81" t="n">
        <f aca="false">L51-S51</f>
        <v>21544.2608695652</v>
      </c>
      <c r="U51" s="81" t="n">
        <f aca="false">IF(C51='W Budget &amp; Owners'!$I$11,'W Budget &amp; Owners'!$F$11*'W Sites'!$G$11,0)</f>
        <v>0</v>
      </c>
      <c r="V51" s="81" t="n">
        <f aca="false">'W Sites'!$G$11*'W Budget &amp; Owners'!$E$11*INDEX('W Assumptions'!$D$27:$F$27,1,D51)*(IF(C51='W Budget &amp; Owners'!$I$11,'W Assumptions'!$D$65,0)+IF(C51=DATE(YEAR('W Sites'!$F$11),MONTH('W Sites'!$F$11),1),1-'W Assumptions'!$D$65,0))+'W Sites'!$G$11*'W Budget &amp; Owners'!$E$11*IF(C51=DATE(2027,9,1),'W Assumptions'!$D$67,IF(C51=DATE(2028,9,1),'W Assumptions'!$D$69,0))</f>
        <v>0</v>
      </c>
      <c r="W51" s="81" t="n">
        <f aca="false">IF(((YEAR(C51)-YEAR('W Sites'!$F$11))*12+MONTH(C51)-MONTH('W Sites'!$F$11))&lt;'W Budget &amp; Owners'!$H$11,'W Budget &amp; Owners'!$E$11/'W Budget &amp; Owners'!$H$11*F51,0)+IF(C51&gt;=DATE(2027,9,1),'W Budget &amp; Owners'!$E$11*'W Assumptions'!$D$67/'W Budget &amp; Owners'!$H$11*F51,0)+IF(C51&gt;=DATE(2028,9,1),'W Budget &amp; Owners'!$E$11*'W Assumptions'!$D$69/'W Budget &amp; Owners'!$H$11*F51,0)</f>
        <v>2500</v>
      </c>
      <c r="X51" s="81" t="n">
        <f aca="false">IF(C51='W Budget &amp; Owners'!$I$11,'W Budget &amp; Owners'!$G$11*'W Sites'!$G$11,0)</f>
        <v>0</v>
      </c>
      <c r="Y51" s="112" t="n">
        <f aca="false">IF(SUM($G$46:$G$55)=0,0,'W Fees &amp; KPI'!$Q$10*G51/SUM($G$46:$G$55))</f>
        <v>1955.18188405797</v>
      </c>
      <c r="Z51" s="119" t="n">
        <f aca="false">IF(SUM($G$46:$G$55)=0,0,SUM('W Fees &amp; KPI'!$J$10,'W Fees &amp; KPI'!$M$10)*G51/SUM($G$46:$G$55))</f>
        <v>4670</v>
      </c>
      <c r="AA51" s="117" t="n">
        <f aca="false">T51-U51-Z51-Y51</f>
        <v>14919.0789855072</v>
      </c>
      <c r="AB51" s="119" t="n">
        <f aca="false">IF('W Fees &amp; KPI'!$D$10=0,0,T51-U51-Z51)</f>
        <v>16874.2608695652</v>
      </c>
    </row>
    <row r="52" customFormat="false" ht="21" hidden="false" customHeight="true" outlineLevel="0" collapsed="false">
      <c r="C52" s="144" t="n">
        <f aca="false">46388</f>
        <v>46388</v>
      </c>
      <c r="D52" s="81" t="n">
        <f aca="false">1</f>
        <v>1</v>
      </c>
      <c r="E52" s="81" t="str">
        <f aca="false">'W Sites'!C12</f>
        <v>S07</v>
      </c>
      <c r="F52" s="145" t="n">
        <f aca="false">'W Sites'!$G$12*MAX(0,EOMONTH(C52,0)-MAX(C52,'W Sites'!$F$12)+1)/DAY(EOMONTH(C52,0))</f>
        <v>1</v>
      </c>
      <c r="G52" s="145" t="n">
        <f aca="false">'W Sites'!$G$12*MAX(0,EOMONTH(C52,0)-MAX(C52,'W Sites'!$F$12,'W Assumptions'!$D$58)+1)/DAY(EOMONTH(C52,0))</f>
        <v>1</v>
      </c>
      <c r="H52" s="81" t="n">
        <f aca="false">'W Sites'!$H$12*F52*'W Sites'!$I$12*IF(((YEAR(C52)-YEAR('W Sites'!$F$12))*12+MONTH(C52)-MONTH('W Sites'!$F$12))=0,'W Assumptions'!$D$62,IF(((YEAR(C52)-YEAR('W Sites'!$F$12))*12+MONTH(C52)-MONTH('W Sites'!$F$12))=1,'W Assumptions'!$D$63,1))*INDEX('W Assumptions'!$D$7:$F$7,1,D52)*INDEX('W Assumptions'!$D$32:$F$32,1,D52)*INDEX('W Assumptions'!$D$80:$D$91,MONTH(C52),1)/AVERAGE('W Assumptions'!$D$80:$D$91)</f>
        <v>573.3</v>
      </c>
      <c r="I52" s="81" t="n">
        <f aca="false">H52*'W Sites'!$J$12/(1+'W Assumptions'!$D$39)*INDEX('W Assumptions'!$D$12:$F$12,1,D52)*INDEX('W Assumptions'!$D$33:$F$33,1,D52)</f>
        <v>29911.3043478261</v>
      </c>
      <c r="J52" s="81" t="n">
        <f aca="false">H52*'W Sites'!$K$12/(1+'W Assumptions'!$D$39)*INDEX('W Assumptions'!$D$12:$F$12,1,D52)*INDEX('W Assumptions'!$D$33:$F$33,1,D52)</f>
        <v>1495.5652173913</v>
      </c>
      <c r="K52" s="81" t="n">
        <f aca="false">'W Sites'!$L$12*F52*IF(((YEAR(C52)-YEAR('W Sites'!$F$12))*12+MONTH(C52)-MONTH('W Sites'!$F$12))=0,'W Assumptions'!$D$62,IF(((YEAR(C52)-YEAR('W Sites'!$F$12))*12+MONTH(C52)-MONTH('W Sites'!$F$12))=1,'W Assumptions'!$D$63,1))*INDEX('W Assumptions'!$D$7:$F$7,1,D52)*INDEX('W Assumptions'!$D$32:$F$32,1,D52)</f>
        <v>10800</v>
      </c>
      <c r="L52" s="81" t="n">
        <f aca="false">SUM(I52:K52)</f>
        <v>42206.8695652174</v>
      </c>
      <c r="M52" s="81" t="n">
        <f aca="false">'W Site Costs'!$I$12*F52*INDEX('W Assumptions'!$D$34:$F$34,1,D52)*INDEX('W Assumptions'!$D$22:$F$22,1,D52)</f>
        <v>23836</v>
      </c>
      <c r="N52" s="81" t="n">
        <f aca="false">'W Site Costs'!$J$12*F52*INDEX('W Assumptions'!$D$35:$F$35,1,D52)*INDEX('W Assumptions'!$D$22:$F$22,1,D52)</f>
        <v>8000</v>
      </c>
      <c r="O52" s="81" t="n">
        <f aca="false">L52*'W Site Costs'!$K$12</f>
        <v>0</v>
      </c>
      <c r="P52" s="81" t="n">
        <f aca="false">SUM('W Site Costs'!$L$12:$Q$12)*F52*INDEX('W Assumptions'!$D$35:$F$35,1,D52)*INDEX('W Assumptions'!$D$22:$F$22,1,D52)</f>
        <v>8500</v>
      </c>
      <c r="Q52" s="81" t="n">
        <f aca="false">L52*'W Site Costs'!$R$12*INDEX('W Assumptions'!$D$17:$F$17,1,D52)</f>
        <v>4220.68695652174</v>
      </c>
      <c r="R52" s="112" t="n">
        <f aca="false">L52*'W Sites'!$M$12</f>
        <v>0</v>
      </c>
      <c r="S52" s="81" t="n">
        <f aca="false">SUM(M52:R52)</f>
        <v>44556.6869565217</v>
      </c>
      <c r="T52" s="81" t="n">
        <f aca="false">L52-S52</f>
        <v>-2349.81739130434</v>
      </c>
      <c r="U52" s="81" t="n">
        <f aca="false">IF(C52='W Budget &amp; Owners'!$I$12,'W Budget &amp; Owners'!$F$12*'W Sites'!$G$12,0)</f>
        <v>0</v>
      </c>
      <c r="V52" s="81" t="n">
        <f aca="false">'W Sites'!$G$12*'W Budget &amp; Owners'!$E$12*INDEX('W Assumptions'!$D$27:$F$27,1,D52)*(IF(C52='W Budget &amp; Owners'!$I$12,'W Assumptions'!$D$65,0)+IF(C52=DATE(YEAR('W Sites'!$F$12),MONTH('W Sites'!$F$12),1),1-'W Assumptions'!$D$65,0))+'W Sites'!$G$12*'W Budget &amp; Owners'!$E$12*IF(C52=DATE(2027,9,1),'W Assumptions'!$D$67,IF(C52=DATE(2028,9,1),'W Assumptions'!$D$69,0))</f>
        <v>180000</v>
      </c>
      <c r="W52" s="81" t="n">
        <f aca="false">IF(((YEAR(C52)-YEAR('W Sites'!$F$12))*12+MONTH(C52)-MONTH('W Sites'!$F$12))&lt;'W Budget &amp; Owners'!$H$12,'W Budget &amp; Owners'!$E$12/'W Budget &amp; Owners'!$H$12*F52,0)+IF(C52&gt;=DATE(2027,9,1),'W Budget &amp; Owners'!$E$12*'W Assumptions'!$D$67/'W Budget &amp; Owners'!$H$12*F52,0)+IF(C52&gt;=DATE(2028,9,1),'W Budget &amp; Owners'!$E$12*'W Assumptions'!$D$69/'W Budget &amp; Owners'!$H$12*F52,0)</f>
        <v>7500</v>
      </c>
      <c r="X52" s="81" t="n">
        <f aca="false">IF(C52='W Budget &amp; Owners'!$I$12,'W Budget &amp; Owners'!$G$12*'W Sites'!$G$12,0)</f>
        <v>0</v>
      </c>
      <c r="Y52" s="112" t="n">
        <f aca="false">IF(SUM($G$46:$G$55)=0,0,'W Fees &amp; KPI'!$Q$10*G52/SUM($G$46:$G$55))</f>
        <v>1955.18188405797</v>
      </c>
      <c r="Z52" s="119" t="n">
        <f aca="false">IF(SUM($G$46:$G$55)=0,0,SUM('W Fees &amp; KPI'!$J$10,'W Fees &amp; KPI'!$M$10)*G52/SUM($G$46:$G$55))</f>
        <v>4670</v>
      </c>
      <c r="AA52" s="117" t="n">
        <f aca="false">T52-U52-Z52-Y52</f>
        <v>-8974.99927536231</v>
      </c>
      <c r="AB52" s="119" t="n">
        <f aca="false">IF('W Fees &amp; KPI'!$D$10=0,0,T52-U52-Z52)</f>
        <v>-7019.81739130434</v>
      </c>
    </row>
    <row r="53" customFormat="false" ht="21" hidden="false" customHeight="true" outlineLevel="0" collapsed="false">
      <c r="C53" s="144" t="n">
        <f aca="false">46388</f>
        <v>46388</v>
      </c>
      <c r="D53" s="81" t="n">
        <f aca="false">1</f>
        <v>1</v>
      </c>
      <c r="E53" s="81" t="str">
        <f aca="false">'W Sites'!C13</f>
        <v>S08</v>
      </c>
      <c r="F53" s="145" t="n">
        <f aca="false">'W Sites'!$G$13*MAX(0,EOMONTH(C53,0)-MAX(C53,'W Sites'!$F$13)+1)/DAY(EOMONTH(C53,0))</f>
        <v>0</v>
      </c>
      <c r="G53" s="145" t="n">
        <f aca="false">'W Sites'!$G$13*MAX(0,EOMONTH(C53,0)-MAX(C53,'W Sites'!$F$13,'W Assumptions'!$D$58)+1)/DAY(EOMONTH(C53,0))</f>
        <v>0</v>
      </c>
      <c r="H53" s="81" t="n">
        <f aca="false">'W Sites'!$H$13*F53*'W Sites'!$I$13*IF(((YEAR(C53)-YEAR('W Sites'!$F$13))*12+MONTH(C53)-MONTH('W Sites'!$F$13))=0,'W Assumptions'!$D$62,IF(((YEAR(C53)-YEAR('W Sites'!$F$13))*12+MONTH(C53)-MONTH('W Sites'!$F$13))=1,'W Assumptions'!$D$63,1))*INDEX('W Assumptions'!$D$7:$F$7,1,D53)*INDEX('W Assumptions'!$D$32:$F$32,1,D53)*INDEX('W Assumptions'!$D$80:$D$91,MONTH(C53),1)/AVERAGE('W Assumptions'!$D$80:$D$91)</f>
        <v>0</v>
      </c>
      <c r="I53" s="81" t="n">
        <f aca="false">H53*'W Sites'!$J$13/(1+'W Assumptions'!$D$39)*INDEX('W Assumptions'!$D$12:$F$12,1,D53)*INDEX('W Assumptions'!$D$33:$F$33,1,D53)</f>
        <v>0</v>
      </c>
      <c r="J53" s="81" t="n">
        <f aca="false">H53*'W Sites'!$K$13/(1+'W Assumptions'!$D$39)*INDEX('W Assumptions'!$D$12:$F$12,1,D53)*INDEX('W Assumptions'!$D$33:$F$33,1,D53)</f>
        <v>0</v>
      </c>
      <c r="K53" s="81" t="n">
        <f aca="false">'W Sites'!$L$13*F53*IF(((YEAR(C53)-YEAR('W Sites'!$F$13))*12+MONTH(C53)-MONTH('W Sites'!$F$13))=0,'W Assumptions'!$D$62,IF(((YEAR(C53)-YEAR('W Sites'!$F$13))*12+MONTH(C53)-MONTH('W Sites'!$F$13))=1,'W Assumptions'!$D$63,1))*INDEX('W Assumptions'!$D$7:$F$7,1,D53)*INDEX('W Assumptions'!$D$32:$F$32,1,D53)</f>
        <v>0</v>
      </c>
      <c r="L53" s="81" t="n">
        <f aca="false">SUM(I53:K53)</f>
        <v>0</v>
      </c>
      <c r="M53" s="81" t="n">
        <f aca="false">'W Site Costs'!$I$13*F53*INDEX('W Assumptions'!$D$34:$F$34,1,D53)*INDEX('W Assumptions'!$D$22:$F$22,1,D53)</f>
        <v>0</v>
      </c>
      <c r="N53" s="81" t="n">
        <f aca="false">'W Site Costs'!$J$13*F53*INDEX('W Assumptions'!$D$35:$F$35,1,D53)*INDEX('W Assumptions'!$D$22:$F$22,1,D53)</f>
        <v>0</v>
      </c>
      <c r="O53" s="81" t="n">
        <f aca="false">L53*'W Site Costs'!$K$13</f>
        <v>0</v>
      </c>
      <c r="P53" s="81" t="n">
        <f aca="false">SUM('W Site Costs'!$L$13:$Q$13)*F53*INDEX('W Assumptions'!$D$35:$F$35,1,D53)*INDEX('W Assumptions'!$D$22:$F$22,1,D53)</f>
        <v>0</v>
      </c>
      <c r="Q53" s="81" t="n">
        <f aca="false">L53*'W Site Costs'!$R$13*INDEX('W Assumptions'!$D$17:$F$17,1,D53)</f>
        <v>0</v>
      </c>
      <c r="R53" s="112" t="n">
        <f aca="false">L53*'W Sites'!$M$13</f>
        <v>0</v>
      </c>
      <c r="S53" s="81" t="n">
        <f aca="false">SUM(M53:R53)</f>
        <v>0</v>
      </c>
      <c r="T53" s="81" t="n">
        <f aca="false">L53-S53</f>
        <v>0</v>
      </c>
      <c r="U53" s="81" t="n">
        <f aca="false">IF(C53='W Budget &amp; Owners'!$I$13,'W Budget &amp; Owners'!$F$13*'W Sites'!$G$13,0)</f>
        <v>60000</v>
      </c>
      <c r="V53" s="81" t="n">
        <f aca="false">'W Sites'!$G$13*'W Budget &amp; Owners'!$E$13*INDEX('W Assumptions'!$D$27:$F$27,1,D53)*(IF(C53='W Budget &amp; Owners'!$I$13,'W Assumptions'!$D$65,0)+IF(C53=DATE(YEAR('W Sites'!$F$13),MONTH('W Sites'!$F$13),1),1-'W Assumptions'!$D$65,0))+'W Sites'!$G$13*'W Budget &amp; Owners'!$E$13*IF(C53=DATE(2027,9,1),'W Assumptions'!$D$67,IF(C53=DATE(2028,9,1),'W Assumptions'!$D$69,0))</f>
        <v>720000</v>
      </c>
      <c r="W53" s="81" t="n">
        <f aca="false">IF(((YEAR(C53)-YEAR('W Sites'!$F$13))*12+MONTH(C53)-MONTH('W Sites'!$F$13))&lt;'W Budget &amp; Owners'!$H$13,'W Budget &amp; Owners'!$E$13/'W Budget &amp; Owners'!$H$13*F53,0)+IF(C53&gt;=DATE(2027,9,1),'W Budget &amp; Owners'!$E$13*'W Assumptions'!$D$67/'W Budget &amp; Owners'!$H$13*F53,0)+IF(C53&gt;=DATE(2028,9,1),'W Budget &amp; Owners'!$E$13*'W Assumptions'!$D$69/'W Budget &amp; Owners'!$H$13*F53,0)</f>
        <v>0</v>
      </c>
      <c r="X53" s="81" t="n">
        <f aca="false">IF(C53='W Budget &amp; Owners'!$I$13,'W Budget &amp; Owners'!$G$13*'W Sites'!$G$13,0)</f>
        <v>0</v>
      </c>
      <c r="Y53" s="112" t="n">
        <f aca="false">IF(SUM($G$46:$G$55)=0,0,'W Fees &amp; KPI'!$Q$10*G53/SUM($G$46:$G$55))</f>
        <v>0</v>
      </c>
      <c r="Z53" s="119" t="n">
        <f aca="false">IF(SUM($G$46:$G$55)=0,0,SUM('W Fees &amp; KPI'!$J$10,'W Fees &amp; KPI'!$M$10)*G53/SUM($G$46:$G$55))</f>
        <v>0</v>
      </c>
      <c r="AA53" s="117" t="n">
        <f aca="false">T53-U53-Z53-Y53</f>
        <v>-60000</v>
      </c>
      <c r="AB53" s="119" t="n">
        <f aca="false">IF('W Fees &amp; KPI'!$D$10=0,0,T53-U53-Z53)</f>
        <v>-60000</v>
      </c>
    </row>
    <row r="54" customFormat="false" ht="21" hidden="false" customHeight="true" outlineLevel="0" collapsed="false">
      <c r="C54" s="144" t="n">
        <f aca="false">46388</f>
        <v>46388</v>
      </c>
      <c r="D54" s="81" t="n">
        <f aca="false">1</f>
        <v>1</v>
      </c>
      <c r="E54" s="81" t="str">
        <f aca="false">'W Sites'!C14</f>
        <v>S09</v>
      </c>
      <c r="F54" s="145" t="n">
        <f aca="false">'W Sites'!$G$14*MAX(0,EOMONTH(C54,0)-MAX(C54,'W Sites'!$F$14)+1)/DAY(EOMONTH(C54,0))</f>
        <v>0</v>
      </c>
      <c r="G54" s="145" t="n">
        <f aca="false">'W Sites'!$G$14*MAX(0,EOMONTH(C54,0)-MAX(C54,'W Sites'!$F$14,'W Assumptions'!$D$58)+1)/DAY(EOMONTH(C54,0))</f>
        <v>0</v>
      </c>
      <c r="H54" s="81" t="n">
        <f aca="false">'W Sites'!$H$14*F54*'W Sites'!$I$14*IF(((YEAR(C54)-YEAR('W Sites'!$F$14))*12+MONTH(C54)-MONTH('W Sites'!$F$14))=0,'W Assumptions'!$D$62,IF(((YEAR(C54)-YEAR('W Sites'!$F$14))*12+MONTH(C54)-MONTH('W Sites'!$F$14))=1,'W Assumptions'!$D$63,1))*INDEX('W Assumptions'!$D$7:$F$7,1,D54)*INDEX('W Assumptions'!$D$32:$F$32,1,D54)*INDEX('W Assumptions'!$D$80:$D$91,MONTH(C54),1)/AVERAGE('W Assumptions'!$D$80:$D$91)</f>
        <v>0</v>
      </c>
      <c r="I54" s="81" t="n">
        <f aca="false">H54*'W Sites'!$J$14/(1+'W Assumptions'!$D$39)*INDEX('W Assumptions'!$D$12:$F$12,1,D54)*INDEX('W Assumptions'!$D$33:$F$33,1,D54)</f>
        <v>0</v>
      </c>
      <c r="J54" s="81" t="n">
        <f aca="false">H54*'W Sites'!$K$14/(1+'W Assumptions'!$D$39)*INDEX('W Assumptions'!$D$12:$F$12,1,D54)*INDEX('W Assumptions'!$D$33:$F$33,1,D54)</f>
        <v>0</v>
      </c>
      <c r="K54" s="81" t="n">
        <f aca="false">'W Sites'!$L$14*F54*IF(((YEAR(C54)-YEAR('W Sites'!$F$14))*12+MONTH(C54)-MONTH('W Sites'!$F$14))=0,'W Assumptions'!$D$62,IF(((YEAR(C54)-YEAR('W Sites'!$F$14))*12+MONTH(C54)-MONTH('W Sites'!$F$14))=1,'W Assumptions'!$D$63,1))*INDEX('W Assumptions'!$D$7:$F$7,1,D54)*INDEX('W Assumptions'!$D$32:$F$32,1,D54)</f>
        <v>0</v>
      </c>
      <c r="L54" s="81" t="n">
        <f aca="false">SUM(I54:K54)</f>
        <v>0</v>
      </c>
      <c r="M54" s="81" t="n">
        <f aca="false">'W Site Costs'!$I$14*F54*INDEX('W Assumptions'!$D$34:$F$34,1,D54)*INDEX('W Assumptions'!$D$22:$F$22,1,D54)</f>
        <v>0</v>
      </c>
      <c r="N54" s="81" t="n">
        <f aca="false">'W Site Costs'!$J$14*F54*INDEX('W Assumptions'!$D$35:$F$35,1,D54)*INDEX('W Assumptions'!$D$22:$F$22,1,D54)</f>
        <v>0</v>
      </c>
      <c r="O54" s="81" t="n">
        <f aca="false">L54*'W Site Costs'!$K$14</f>
        <v>0</v>
      </c>
      <c r="P54" s="81" t="n">
        <f aca="false">SUM('W Site Costs'!$L$14:$Q$14)*F54*INDEX('W Assumptions'!$D$35:$F$35,1,D54)*INDEX('W Assumptions'!$D$22:$F$22,1,D54)</f>
        <v>0</v>
      </c>
      <c r="Q54" s="81" t="n">
        <f aca="false">L54*'W Site Costs'!$R$14*INDEX('W Assumptions'!$D$17:$F$17,1,D54)</f>
        <v>0</v>
      </c>
      <c r="R54" s="112" t="n">
        <f aca="false">L54*'W Sites'!$M$14</f>
        <v>0</v>
      </c>
      <c r="S54" s="81" t="n">
        <f aca="false">SUM(M54:R54)</f>
        <v>0</v>
      </c>
      <c r="T54" s="81" t="n">
        <f aca="false">L54-S54</f>
        <v>0</v>
      </c>
      <c r="U54" s="81" t="n">
        <f aca="false">IF(C54='W Budget &amp; Owners'!$I$14,'W Budget &amp; Owners'!$F$14*'W Sites'!$G$14,0)</f>
        <v>0</v>
      </c>
      <c r="V54" s="81" t="n">
        <f aca="false">'W Sites'!$G$14*'W Budget &amp; Owners'!$E$14*INDEX('W Assumptions'!$D$27:$F$27,1,D54)*(IF(C54='W Budget &amp; Owners'!$I$14,'W Assumptions'!$D$65,0)+IF(C54=DATE(YEAR('W Sites'!$F$14),MONTH('W Sites'!$F$14),1),1-'W Assumptions'!$D$65,0))+'W Sites'!$G$14*'W Budget &amp; Owners'!$E$14*IF(C54=DATE(2027,9,1),'W Assumptions'!$D$67,IF(C54=DATE(2028,9,1),'W Assumptions'!$D$69,0))</f>
        <v>0</v>
      </c>
      <c r="W54" s="81" t="n">
        <f aca="false">IF(((YEAR(C54)-YEAR('W Sites'!$F$14))*12+MONTH(C54)-MONTH('W Sites'!$F$14))&lt;'W Budget &amp; Owners'!$H$14,'W Budget &amp; Owners'!$E$14/'W Budget &amp; Owners'!$H$14*F54,0)+IF(C54&gt;=DATE(2027,9,1),'W Budget &amp; Owners'!$E$14*'W Assumptions'!$D$67/'W Budget &amp; Owners'!$H$14*F54,0)+IF(C54&gt;=DATE(2028,9,1),'W Budget &amp; Owners'!$E$14*'W Assumptions'!$D$69/'W Budget &amp; Owners'!$H$14*F54,0)</f>
        <v>0</v>
      </c>
      <c r="X54" s="81" t="n">
        <f aca="false">IF(C54='W Budget &amp; Owners'!$I$14,'W Budget &amp; Owners'!$G$14*'W Sites'!$G$14,0)</f>
        <v>0</v>
      </c>
      <c r="Y54" s="112" t="n">
        <f aca="false">IF(SUM($G$46:$G$55)=0,0,'W Fees &amp; KPI'!$Q$10*G54/SUM($G$46:$G$55))</f>
        <v>0</v>
      </c>
      <c r="Z54" s="119" t="n">
        <f aca="false">IF(SUM($G$46:$G$55)=0,0,SUM('W Fees &amp; KPI'!$J$10,'W Fees &amp; KPI'!$M$10)*G54/SUM($G$46:$G$55))</f>
        <v>0</v>
      </c>
      <c r="AA54" s="117" t="n">
        <f aca="false">T54-U54-Z54-Y54</f>
        <v>0</v>
      </c>
      <c r="AB54" s="119" t="n">
        <f aca="false">IF('W Fees &amp; KPI'!$D$10=0,0,T54-U54-Z54)</f>
        <v>0</v>
      </c>
    </row>
    <row r="55" customFormat="false" ht="21" hidden="false" customHeight="true" outlineLevel="0" collapsed="false">
      <c r="C55" s="144" t="n">
        <f aca="false">46388</f>
        <v>46388</v>
      </c>
      <c r="D55" s="81" t="n">
        <f aca="false">1</f>
        <v>1</v>
      </c>
      <c r="E55" s="81" t="str">
        <f aca="false">'W Sites'!C15</f>
        <v>S10</v>
      </c>
      <c r="F55" s="145" t="n">
        <f aca="false">'W Sites'!$G$15*MAX(0,EOMONTH(C55,0)-MAX(C55,'W Sites'!$F$15)+1)/DAY(EOMONTH(C55,0))</f>
        <v>0</v>
      </c>
      <c r="G55" s="145" t="n">
        <f aca="false">'W Sites'!$G$15*MAX(0,EOMONTH(C55,0)-MAX(C55,'W Sites'!$F$15,'W Assumptions'!$D$58)+1)/DAY(EOMONTH(C55,0))</f>
        <v>0</v>
      </c>
      <c r="H55" s="81" t="n">
        <f aca="false">'W Sites'!$H$15*F55*'W Sites'!$I$15*IF(((YEAR(C55)-YEAR('W Sites'!$F$15))*12+MONTH(C55)-MONTH('W Sites'!$F$15))=0,'W Assumptions'!$D$62,IF(((YEAR(C55)-YEAR('W Sites'!$F$15))*12+MONTH(C55)-MONTH('W Sites'!$F$15))=1,'W Assumptions'!$D$63,1))*INDEX('W Assumptions'!$D$7:$F$7,1,D55)*INDEX('W Assumptions'!$D$32:$F$32,1,D55)*INDEX('W Assumptions'!$D$80:$D$91,MONTH(C55),1)/AVERAGE('W Assumptions'!$D$80:$D$91)</f>
        <v>0</v>
      </c>
      <c r="I55" s="81" t="n">
        <f aca="false">H55*'W Sites'!$J$15/(1+'W Assumptions'!$D$39)*INDEX('W Assumptions'!$D$12:$F$12,1,D55)*INDEX('W Assumptions'!$D$33:$F$33,1,D55)</f>
        <v>0</v>
      </c>
      <c r="J55" s="81" t="n">
        <f aca="false">H55*'W Sites'!$K$15/(1+'W Assumptions'!$D$39)*INDEX('W Assumptions'!$D$12:$F$12,1,D55)*INDEX('W Assumptions'!$D$33:$F$33,1,D55)</f>
        <v>0</v>
      </c>
      <c r="K55" s="81" t="n">
        <f aca="false">'W Sites'!$L$15*F55*IF(((YEAR(C55)-YEAR('W Sites'!$F$15))*12+MONTH(C55)-MONTH('W Sites'!$F$15))=0,'W Assumptions'!$D$62,IF(((YEAR(C55)-YEAR('W Sites'!$F$15))*12+MONTH(C55)-MONTH('W Sites'!$F$15))=1,'W Assumptions'!$D$63,1))*INDEX('W Assumptions'!$D$7:$F$7,1,D55)*INDEX('W Assumptions'!$D$32:$F$32,1,D55)</f>
        <v>0</v>
      </c>
      <c r="L55" s="81" t="n">
        <f aca="false">SUM(I55:K55)</f>
        <v>0</v>
      </c>
      <c r="M55" s="81" t="n">
        <f aca="false">'W Site Costs'!$I$15*F55*INDEX('W Assumptions'!$D$34:$F$34,1,D55)*INDEX('W Assumptions'!$D$22:$F$22,1,D55)</f>
        <v>0</v>
      </c>
      <c r="N55" s="81" t="n">
        <f aca="false">'W Site Costs'!$J$15*F55*INDEX('W Assumptions'!$D$35:$F$35,1,D55)*INDEX('W Assumptions'!$D$22:$F$22,1,D55)</f>
        <v>0</v>
      </c>
      <c r="O55" s="81" t="n">
        <f aca="false">L55*'W Site Costs'!$K$15</f>
        <v>0</v>
      </c>
      <c r="P55" s="81" t="n">
        <f aca="false">SUM('W Site Costs'!$L$15:$Q$15)*F55*INDEX('W Assumptions'!$D$35:$F$35,1,D55)*INDEX('W Assumptions'!$D$22:$F$22,1,D55)</f>
        <v>0</v>
      </c>
      <c r="Q55" s="81" t="n">
        <f aca="false">L55*'W Site Costs'!$R$15*INDEX('W Assumptions'!$D$17:$F$17,1,D55)</f>
        <v>0</v>
      </c>
      <c r="R55" s="112" t="n">
        <f aca="false">L55*'W Sites'!$M$15</f>
        <v>0</v>
      </c>
      <c r="S55" s="81" t="n">
        <f aca="false">SUM(M55:R55)</f>
        <v>0</v>
      </c>
      <c r="T55" s="81" t="n">
        <f aca="false">L55-S55</f>
        <v>0</v>
      </c>
      <c r="U55" s="81" t="n">
        <f aca="false">IF(C55='W Budget &amp; Owners'!$I$15,'W Budget &amp; Owners'!$F$15*'W Sites'!$G$15,0)</f>
        <v>0</v>
      </c>
      <c r="V55" s="81" t="n">
        <f aca="false">'W Sites'!$G$15*'W Budget &amp; Owners'!$E$15*INDEX('W Assumptions'!$D$27:$F$27,1,D55)*(IF(C55='W Budget &amp; Owners'!$I$15,'W Assumptions'!$D$65,0)+IF(C55=DATE(YEAR('W Sites'!$F$15),MONTH('W Sites'!$F$15),1),1-'W Assumptions'!$D$65,0))+'W Sites'!$G$15*'W Budget &amp; Owners'!$E$15*IF(C55=DATE(2027,9,1),'W Assumptions'!$D$67,IF(C55=DATE(2028,9,1),'W Assumptions'!$D$69,0))</f>
        <v>0</v>
      </c>
      <c r="W55" s="81" t="n">
        <f aca="false">IF(((YEAR(C55)-YEAR('W Sites'!$F$15))*12+MONTH(C55)-MONTH('W Sites'!$F$15))&lt;'W Budget &amp; Owners'!$H$15,'W Budget &amp; Owners'!$E$15/'W Budget &amp; Owners'!$H$15*F55,0)+IF(C55&gt;=DATE(2027,9,1),'W Budget &amp; Owners'!$E$15*'W Assumptions'!$D$67/'W Budget &amp; Owners'!$H$15*F55,0)+IF(C55&gt;=DATE(2028,9,1),'W Budget &amp; Owners'!$E$15*'W Assumptions'!$D$69/'W Budget &amp; Owners'!$H$15*F55,0)</f>
        <v>0</v>
      </c>
      <c r="X55" s="81" t="n">
        <f aca="false">IF(C55='W Budget &amp; Owners'!$I$15,'W Budget &amp; Owners'!$G$15*'W Sites'!$G$15,0)</f>
        <v>0</v>
      </c>
      <c r="Y55" s="112" t="n">
        <f aca="false">IF(SUM($G$46:$G$55)=0,0,'W Fees &amp; KPI'!$Q$10*G55/SUM($G$46:$G$55))</f>
        <v>0</v>
      </c>
      <c r="Z55" s="119" t="n">
        <f aca="false">IF(SUM($G$46:$G$55)=0,0,SUM('W Fees &amp; KPI'!$J$10,'W Fees &amp; KPI'!$M$10)*G55/SUM($G$46:$G$55))</f>
        <v>0</v>
      </c>
      <c r="AA55" s="117" t="n">
        <f aca="false">T55-U55-Z55-Y55</f>
        <v>0</v>
      </c>
      <c r="AB55" s="119" t="n">
        <f aca="false">IF('W Fees &amp; KPI'!$D$10=0,0,T55-U55-Z55)</f>
        <v>0</v>
      </c>
    </row>
    <row r="56" customFormat="false" ht="21" hidden="false" customHeight="true" outlineLevel="0" collapsed="false">
      <c r="C56" s="144" t="n">
        <f aca="false">46419</f>
        <v>46419</v>
      </c>
      <c r="D56" s="81" t="n">
        <f aca="false">1</f>
        <v>1</v>
      </c>
      <c r="E56" s="81" t="str">
        <f aca="false">'W Sites'!C6</f>
        <v>S01</v>
      </c>
      <c r="F56" s="145" t="n">
        <f aca="false">'W Sites'!$G$6*MAX(0,EOMONTH(C56,0)-MAX(C56,'W Sites'!$F$6)+1)/DAY(EOMONTH(C56,0))</f>
        <v>1</v>
      </c>
      <c r="G56" s="145" t="n">
        <f aca="false">'W Sites'!$G$6*MAX(0,EOMONTH(C56,0)-MAX(C56,'W Sites'!$F$6,'W Assumptions'!$D$58)+1)/DAY(EOMONTH(C56,0))</f>
        <v>1</v>
      </c>
      <c r="H56" s="81" t="n">
        <f aca="false">'W Sites'!$D$45*INDEX('W Sites'!$E$65:$E$76,MONTH(C56),1)/SUM('W Sites'!$E$65:$E$76)*F56*(1+'W Sites'!$D$56)^(D56-1)*INDEX('W Assumptions'!$D$7:$F$7,1,D56)</f>
        <v>2930</v>
      </c>
      <c r="I56" s="81" t="n">
        <f aca="false">H56*'W Sites'!$D$46/(1+'W Sites'!$D$54*'W Assumptions'!$D$39)*INDEX('W Assumptions'!$D$12:$F$12,1,D56)</f>
        <v>161150</v>
      </c>
      <c r="J56" s="81" t="n">
        <f aca="false">H56*SUM('W Sites'!$D$47:$D$49)/(1+'W Sites'!$D$54*'W Assumptions'!$D$39)*INDEX('W Assumptions'!$D$12:$F$12,1,D56)</f>
        <v>87900</v>
      </c>
      <c r="K56" s="81" t="n">
        <f aca="false">SUM('W Sites'!$D$50:$D$52)/12*F56*(1+'W Sites'!$D$56)^(D56-1)*INDEX('W Assumptions'!$D$7:$F$7,1,D56)*INDEX('W Assumptions'!$D$12:$F$12,1,D56)/(1+'W Sites'!$D$54*'W Assumptions'!$D$39)</f>
        <v>33333.3333333333</v>
      </c>
      <c r="L56" s="81" t="n">
        <f aca="false">SUM(I56:K56)</f>
        <v>282383.333333333</v>
      </c>
      <c r="M56" s="81" t="n">
        <f aca="false">('W Site Costs'!$I$6+INDEX('W Sites'!$F$65:$F$76,MONTH(C56),1)*'W Site Costs'!$V$6)*F56*(1+'W Sites'!$D$58)^(D56-1)*INDEX('W Assumptions'!$D$22:$F$22,1,D56)</f>
        <v>108500</v>
      </c>
      <c r="N56" s="81" t="n">
        <f aca="false">'W Site Costs'!$J$6*F56*INDEX('W Assumptions'!$D$35:$F$35,1,D56)*INDEX('W Assumptions'!$D$22:$F$22,1,D56)</f>
        <v>15000</v>
      </c>
      <c r="O56" s="81" t="n">
        <f aca="false">L56*'W Site Costs'!$K$6</f>
        <v>0</v>
      </c>
      <c r="P56" s="81" t="n">
        <f aca="false">(SUM('W Site Costs'!$L$6:$Q$6)+INDEX('W Sites'!$F$65:$F$76,MONTH(C56),1)*'W Site Costs'!$W$6)*F56*(1+'W Sites'!$D$58)^(D56-1)*INDEX('W Assumptions'!$D$22:$F$22,1,D56)</f>
        <v>74000</v>
      </c>
      <c r="Q56" s="81" t="n">
        <f aca="false">('W Site Costs'!$X$6+INDEX('W Sites'!$F$65:$F$76,MONTH(C56),1)*'W Site Costs'!$Y$6)*F56*(1+'W Sites'!$D$58)^(D56-1)*INDEX('W Assumptions'!$D$17:$F$17,1,D56)</f>
        <v>18000</v>
      </c>
      <c r="R56" s="112" t="n">
        <f aca="false">L56*'W Sites'!$M$6</f>
        <v>0</v>
      </c>
      <c r="S56" s="81" t="n">
        <f aca="false">SUM(M56:R56)</f>
        <v>215500</v>
      </c>
      <c r="T56" s="81" t="n">
        <f aca="false">L56-S56</f>
        <v>66883.3333333333</v>
      </c>
      <c r="U56" s="81" t="n">
        <f aca="false">IF(C56='W Budget &amp; Owners'!$I$6,'W Budget &amp; Owners'!$F$6*'W Sites'!$G$6,0)</f>
        <v>0</v>
      </c>
      <c r="V56" s="81" t="n">
        <f aca="false">'W Sites'!$G$6*'W Budget &amp; Owners'!$E$6*INDEX('W Assumptions'!$D$27:$F$27,1,D56)*(IF(C56='W Budget &amp; Owners'!$I$6,'W Assumptions'!$D$65,0)+IF(C56=DATE(YEAR('W Sites'!$F$6),MONTH('W Sites'!$F$6),1),1-'W Assumptions'!$D$65,0))+'W Sites'!$G$6*'W Budget &amp; Owners'!$E$6*IF(C56=DATE(2027,9,1),'W Assumptions'!$D$67,IF(C56=DATE(2028,9,1),'W Assumptions'!$D$69,0))</f>
        <v>0</v>
      </c>
      <c r="W56" s="81" t="n">
        <f aca="false">IF(((YEAR(C56)-YEAR('W Sites'!$F$6))*12+MONTH(C56)-MONTH('W Sites'!$F$6))&lt;'W Budget &amp; Owners'!$H$6,'W Budget &amp; Owners'!$E$6/'W Budget &amp; Owners'!$H$6*F56,0)+IF(C56&gt;=DATE(2027,9,1),'W Budget &amp; Owners'!$E$6*'W Assumptions'!$D$67/'W Budget &amp; Owners'!$H$6*F56,0)+IF(C56&gt;=DATE(2028,9,1),'W Budget &amp; Owners'!$E$6*'W Assumptions'!$D$69/'W Budget &amp; Owners'!$H$6*F56,0)</f>
        <v>5833.33333333333</v>
      </c>
      <c r="X56" s="81" t="n">
        <f aca="false">IF(C56='W Budget &amp; Owners'!$I$6,'W Budget &amp; Owners'!$G$6*'W Sites'!$G$6,0)</f>
        <v>0</v>
      </c>
      <c r="Y56" s="112" t="n">
        <f aca="false">IF(SUM($G$56:$G$65)=0,0,'W Fees &amp; KPI'!$Q$11*G56/SUM($G$56:$G$65))</f>
        <v>1733.07899654234</v>
      </c>
      <c r="Z56" s="119" t="n">
        <f aca="false">IF(SUM($G$56:$G$65)=0,0,SUM('W Fees &amp; KPI'!$J$11,'W Fees &amp; KPI'!$M$11)*G56/SUM($G$56:$G$65))</f>
        <v>4646.29441624366</v>
      </c>
      <c r="AA56" s="117" t="n">
        <f aca="false">T56-U56-Z56-Y56</f>
        <v>60503.9599205473</v>
      </c>
      <c r="AB56" s="119" t="n">
        <f aca="false">IF('W Fees &amp; KPI'!$D$11=0,0,T56-U56-Z56)</f>
        <v>62237.0389170897</v>
      </c>
    </row>
    <row r="57" customFormat="false" ht="21" hidden="false" customHeight="true" outlineLevel="0" collapsed="false">
      <c r="C57" s="144" t="n">
        <f aca="false">46419</f>
        <v>46419</v>
      </c>
      <c r="D57" s="81" t="n">
        <f aca="false">1</f>
        <v>1</v>
      </c>
      <c r="E57" s="81" t="str">
        <f aca="false">'W Sites'!C7</f>
        <v>S02</v>
      </c>
      <c r="F57" s="145" t="n">
        <f aca="false">'W Sites'!$G$7*MAX(0,EOMONTH(C57,0)-MAX(C57,'W Sites'!$F$7)+1)/DAY(EOMONTH(C57,0))</f>
        <v>1</v>
      </c>
      <c r="G57" s="145" t="n">
        <f aca="false">'W Sites'!$G$7*MAX(0,EOMONTH(C57,0)-MAX(C57,'W Sites'!$F$7,'W Assumptions'!$D$58)+1)/DAY(EOMONTH(C57,0))</f>
        <v>1</v>
      </c>
      <c r="H57" s="81" t="n">
        <f aca="false">'W Sites'!$H$7*F57*'W Sites'!$I$7*IF(((YEAR(C57)-YEAR('W Sites'!$F$7))*12+MONTH(C57)-MONTH('W Sites'!$F$7))=0,'W Assumptions'!$D$62,IF(((YEAR(C57)-YEAR('W Sites'!$F$7))*12+MONTH(C57)-MONTH('W Sites'!$F$7))=1,'W Assumptions'!$D$63,1))*INDEX('W Assumptions'!$D$7:$F$7,1,D57)*INDEX('W Assumptions'!$D$32:$F$32,1,D57)*INDEX('W Assumptions'!$D$80:$D$91,MONTH(C57),1)/AVERAGE('W Assumptions'!$D$80:$D$91)</f>
        <v>2100</v>
      </c>
      <c r="I57" s="81" t="n">
        <f aca="false">H57*'W Sites'!$J$7/(1+'W Assumptions'!$D$39)*INDEX('W Assumptions'!$D$12:$F$12,1,D57)*INDEX('W Assumptions'!$D$33:$F$33,1,D57)</f>
        <v>63913.0434782609</v>
      </c>
      <c r="J57" s="81" t="n">
        <f aca="false">H57*'W Sites'!$K$7/(1+'W Assumptions'!$D$39)*INDEX('W Assumptions'!$D$12:$F$12,1,D57)*INDEX('W Assumptions'!$D$33:$F$33,1,D57)</f>
        <v>5478.26086956522</v>
      </c>
      <c r="K57" s="81" t="n">
        <f aca="false">'W Sites'!$L$7*F57*IF(((YEAR(C57)-YEAR('W Sites'!$F$7))*12+MONTH(C57)-MONTH('W Sites'!$F$7))=0,'W Assumptions'!$D$62,IF(((YEAR(C57)-YEAR('W Sites'!$F$7))*12+MONTH(C57)-MONTH('W Sites'!$F$7))=1,'W Assumptions'!$D$63,1))*INDEX('W Assumptions'!$D$7:$F$7,1,D57)*INDEX('W Assumptions'!$D$32:$F$32,1,D57)</f>
        <v>5000</v>
      </c>
      <c r="L57" s="81" t="n">
        <f aca="false">SUM(I57:K57)</f>
        <v>74391.3043478261</v>
      </c>
      <c r="M57" s="81" t="n">
        <f aca="false">'W Site Costs'!$I$7*F57*INDEX('W Assumptions'!$D$34:$F$34,1,D57)*INDEX('W Assumptions'!$D$22:$F$22,1,D57)</f>
        <v>32450</v>
      </c>
      <c r="N57" s="81" t="n">
        <f aca="false">'W Site Costs'!$J$7*F57*INDEX('W Assumptions'!$D$35:$F$35,1,D57)*INDEX('W Assumptions'!$D$22:$F$22,1,D57)</f>
        <v>0</v>
      </c>
      <c r="O57" s="81" t="n">
        <f aca="false">L57*'W Site Costs'!$K$7</f>
        <v>11158.6956521739</v>
      </c>
      <c r="P57" s="81" t="n">
        <f aca="false">SUM('W Site Costs'!$L$7:$Q$7)*F57*INDEX('W Assumptions'!$D$35:$F$35,1,D57)*INDEX('W Assumptions'!$D$22:$F$22,1,D57)</f>
        <v>11700</v>
      </c>
      <c r="Q57" s="81" t="n">
        <f aca="false">L57*'W Site Costs'!$R$7*INDEX('W Assumptions'!$D$17:$F$17,1,D57)</f>
        <v>4463.47826086957</v>
      </c>
      <c r="R57" s="112" t="n">
        <f aca="false">L57*'W Sites'!$M$7</f>
        <v>0</v>
      </c>
      <c r="S57" s="81" t="n">
        <f aca="false">SUM(M57:R57)</f>
        <v>59772.1739130435</v>
      </c>
      <c r="T57" s="81" t="n">
        <f aca="false">L57-S57</f>
        <v>14619.1304347826</v>
      </c>
      <c r="U57" s="81" t="n">
        <f aca="false">IF(C57='W Budget &amp; Owners'!$I$7,'W Budget &amp; Owners'!$F$7*'W Sites'!$G$7,0)</f>
        <v>0</v>
      </c>
      <c r="V57" s="81" t="n">
        <f aca="false">'W Sites'!$G$7*'W Budget &amp; Owners'!$E$7*INDEX('W Assumptions'!$D$27:$F$27,1,D57)*(IF(C57='W Budget &amp; Owners'!$I$7,'W Assumptions'!$D$65,0)+IF(C57=DATE(YEAR('W Sites'!$F$7),MONTH('W Sites'!$F$7),1),1-'W Assumptions'!$D$65,0))+'W Sites'!$G$7*'W Budget &amp; Owners'!$E$7*IF(C57=DATE(2027,9,1),'W Assumptions'!$D$67,IF(C57=DATE(2028,9,1),'W Assumptions'!$D$69,0))</f>
        <v>0</v>
      </c>
      <c r="W57" s="81" t="n">
        <f aca="false">IF(((YEAR(C57)-YEAR('W Sites'!$F$7))*12+MONTH(C57)-MONTH('W Sites'!$F$7))&lt;'W Budget &amp; Owners'!$H$7,'W Budget &amp; Owners'!$E$7/'W Budget &amp; Owners'!$H$7*F57,0)+IF(C57&gt;=DATE(2027,9,1),'W Budget &amp; Owners'!$E$7*'W Assumptions'!$D$67/'W Budget &amp; Owners'!$H$7*F57,0)+IF(C57&gt;=DATE(2028,9,1),'W Budget &amp; Owners'!$E$7*'W Assumptions'!$D$69/'W Budget &amp; Owners'!$H$7*F57,0)</f>
        <v>1333.33333333333</v>
      </c>
      <c r="X57" s="81" t="n">
        <f aca="false">IF(C57='W Budget &amp; Owners'!$I$7,'W Budget &amp; Owners'!$G$7*'W Sites'!$G$7,0)</f>
        <v>0</v>
      </c>
      <c r="Y57" s="112" t="n">
        <f aca="false">IF(SUM($G$56:$G$65)=0,0,'W Fees &amp; KPI'!$Q$11*G57/SUM($G$56:$G$65))</f>
        <v>1733.07899654234</v>
      </c>
      <c r="Z57" s="119" t="n">
        <f aca="false">IF(SUM($G$56:$G$65)=0,0,SUM('W Fees &amp; KPI'!$J$11,'W Fees &amp; KPI'!$M$11)*G57/SUM($G$56:$G$65))</f>
        <v>4646.29441624366</v>
      </c>
      <c r="AA57" s="117" t="n">
        <f aca="false">T57-U57-Z57-Y57</f>
        <v>8239.75702199662</v>
      </c>
      <c r="AB57" s="119" t="n">
        <f aca="false">IF('W Fees &amp; KPI'!$D$11=0,0,T57-U57-Z57)</f>
        <v>9972.83601853896</v>
      </c>
    </row>
    <row r="58" customFormat="false" ht="21" hidden="false" customHeight="true" outlineLevel="0" collapsed="false">
      <c r="C58" s="144" t="n">
        <f aca="false">46419</f>
        <v>46419</v>
      </c>
      <c r="D58" s="81" t="n">
        <f aca="false">1</f>
        <v>1</v>
      </c>
      <c r="E58" s="81" t="str">
        <f aca="false">'W Sites'!C8</f>
        <v>S03</v>
      </c>
      <c r="F58" s="145" t="n">
        <f aca="false">'W Sites'!$G$8*MAX(0,EOMONTH(C58,0)-MAX(C58,'W Sites'!$F$8)+1)/DAY(EOMONTH(C58,0))</f>
        <v>1</v>
      </c>
      <c r="G58" s="145" t="n">
        <f aca="false">'W Sites'!$G$8*MAX(0,EOMONTH(C58,0)-MAX(C58,'W Sites'!$F$8,'W Assumptions'!$D$58)+1)/DAY(EOMONTH(C58,0))</f>
        <v>1</v>
      </c>
      <c r="H58" s="81" t="n">
        <f aca="false">'W Sites'!$H$8*F58*'W Sites'!$I$8*IF(((YEAR(C58)-YEAR('W Sites'!$F$8))*12+MONTH(C58)-MONTH('W Sites'!$F$8))=0,'W Assumptions'!$D$62,IF(((YEAR(C58)-YEAR('W Sites'!$F$8))*12+MONTH(C58)-MONTH('W Sites'!$F$8))=1,'W Assumptions'!$D$63,1))*INDEX('W Assumptions'!$D$7:$F$7,1,D58)*INDEX('W Assumptions'!$D$32:$F$32,1,D58)*INDEX('W Assumptions'!$D$80:$D$91,MONTH(C58),1)/AVERAGE('W Assumptions'!$D$80:$D$91)</f>
        <v>2268.49315068493</v>
      </c>
      <c r="I58" s="81" t="n">
        <f aca="false">H58*'W Sites'!$J$8/(1+'W Assumptions'!$D$39)*INDEX('W Assumptions'!$D$12:$F$12,1,D58)*INDEX('W Assumptions'!$D$33:$F$33,1,D58)</f>
        <v>128219.178082192</v>
      </c>
      <c r="J58" s="81" t="n">
        <f aca="false">H58*'W Sites'!$K$8/(1+'W Assumptions'!$D$39)*INDEX('W Assumptions'!$D$12:$F$12,1,D58)*INDEX('W Assumptions'!$D$33:$F$33,1,D58)</f>
        <v>15780.8219178082</v>
      </c>
      <c r="K58" s="81" t="n">
        <f aca="false">'W Sites'!$L$8*F58*IF(((YEAR(C58)-YEAR('W Sites'!$F$8))*12+MONTH(C58)-MONTH('W Sites'!$F$8))=0,'W Assumptions'!$D$62,IF(((YEAR(C58)-YEAR('W Sites'!$F$8))*12+MONTH(C58)-MONTH('W Sites'!$F$8))=1,'W Assumptions'!$D$63,1))*INDEX('W Assumptions'!$D$7:$F$7,1,D58)*INDEX('W Assumptions'!$D$32:$F$32,1,D58)</f>
        <v>16000</v>
      </c>
      <c r="L58" s="81" t="n">
        <f aca="false">SUM(I58:K58)</f>
        <v>160000</v>
      </c>
      <c r="M58" s="81" t="n">
        <f aca="false">'W Site Costs'!$I$8*F58*INDEX('W Assumptions'!$D$34:$F$34,1,D58)*INDEX('W Assumptions'!$D$22:$F$22,1,D58)</f>
        <v>48026</v>
      </c>
      <c r="N58" s="81" t="n">
        <f aca="false">'W Site Costs'!$J$8*F58*INDEX('W Assumptions'!$D$35:$F$35,1,D58)*INDEX('W Assumptions'!$D$22:$F$22,1,D58)</f>
        <v>35000</v>
      </c>
      <c r="O58" s="81" t="n">
        <f aca="false">L58*'W Site Costs'!$K$8</f>
        <v>0</v>
      </c>
      <c r="P58" s="81" t="n">
        <f aca="false">SUM('W Site Costs'!$L$8:$Q$8)*F58*INDEX('W Assumptions'!$D$35:$F$35,1,D58)*INDEX('W Assumptions'!$D$22:$F$22,1,D58)</f>
        <v>19500</v>
      </c>
      <c r="Q58" s="81" t="n">
        <f aca="false">L58*'W Site Costs'!$R$8*INDEX('W Assumptions'!$D$17:$F$17,1,D58)</f>
        <v>12800</v>
      </c>
      <c r="R58" s="112" t="n">
        <f aca="false">L58*'W Sites'!$M$8</f>
        <v>0</v>
      </c>
      <c r="S58" s="81" t="n">
        <f aca="false">SUM(M58:R58)</f>
        <v>115326</v>
      </c>
      <c r="T58" s="81" t="n">
        <f aca="false">L58-S58</f>
        <v>44674</v>
      </c>
      <c r="U58" s="81" t="n">
        <f aca="false">IF(C58='W Budget &amp; Owners'!$I$8,'W Budget &amp; Owners'!$F$8*'W Sites'!$G$8,0)</f>
        <v>0</v>
      </c>
      <c r="V58" s="81" t="n">
        <f aca="false">'W Sites'!$G$8*'W Budget &amp; Owners'!$E$8*INDEX('W Assumptions'!$D$27:$F$27,1,D58)*(IF(C58='W Budget &amp; Owners'!$I$8,'W Assumptions'!$D$65,0)+IF(C58=DATE(YEAR('W Sites'!$F$8),MONTH('W Sites'!$F$8),1),1-'W Assumptions'!$D$65,0))+'W Sites'!$G$8*'W Budget &amp; Owners'!$E$8*IF(C58=DATE(2027,9,1),'W Assumptions'!$D$67,IF(C58=DATE(2028,9,1),'W Assumptions'!$D$69,0))</f>
        <v>0</v>
      </c>
      <c r="W58" s="81" t="n">
        <f aca="false">IF(((YEAR(C58)-YEAR('W Sites'!$F$8))*12+MONTH(C58)-MONTH('W Sites'!$F$8))&lt;'W Budget &amp; Owners'!$H$8,'W Budget &amp; Owners'!$E$8/'W Budget &amp; Owners'!$H$8*F58,0)+IF(C58&gt;=DATE(2027,9,1),'W Budget &amp; Owners'!$E$8*'W Assumptions'!$D$67/'W Budget &amp; Owners'!$H$8*F58,0)+IF(C58&gt;=DATE(2028,9,1),'W Budget &amp; Owners'!$E$8*'W Assumptions'!$D$69/'W Budget &amp; Owners'!$H$8*F58,0)</f>
        <v>10000</v>
      </c>
      <c r="X58" s="81" t="n">
        <f aca="false">IF(C58='W Budget &amp; Owners'!$I$8,'W Budget &amp; Owners'!$G$8*'W Sites'!$G$8,0)</f>
        <v>0</v>
      </c>
      <c r="Y58" s="112" t="n">
        <f aca="false">IF(SUM($G$56:$G$65)=0,0,'W Fees &amp; KPI'!$Q$11*G58/SUM($G$56:$G$65))</f>
        <v>1733.07899654234</v>
      </c>
      <c r="Z58" s="119" t="n">
        <f aca="false">IF(SUM($G$56:$G$65)=0,0,SUM('W Fees &amp; KPI'!$J$11,'W Fees &amp; KPI'!$M$11)*G58/SUM($G$56:$G$65))</f>
        <v>4646.29441624366</v>
      </c>
      <c r="AA58" s="117" t="n">
        <f aca="false">T58-U58-Z58-Y58</f>
        <v>38294.626587214</v>
      </c>
      <c r="AB58" s="119" t="n">
        <f aca="false">IF('W Fees &amp; KPI'!$D$11=0,0,T58-U58-Z58)</f>
        <v>40027.7055837563</v>
      </c>
    </row>
    <row r="59" customFormat="false" ht="21" hidden="false" customHeight="true" outlineLevel="0" collapsed="false">
      <c r="C59" s="144" t="n">
        <f aca="false">46419</f>
        <v>46419</v>
      </c>
      <c r="D59" s="81" t="n">
        <f aca="false">1</f>
        <v>1</v>
      </c>
      <c r="E59" s="81" t="str">
        <f aca="false">'W Sites'!C9</f>
        <v>S04</v>
      </c>
      <c r="F59" s="145" t="n">
        <f aca="false">'W Sites'!$G$9*MAX(0,EOMONTH(C59,0)-MAX(C59,'W Sites'!$F$9)+1)/DAY(EOMONTH(C59,0))</f>
        <v>1</v>
      </c>
      <c r="G59" s="145" t="n">
        <f aca="false">'W Sites'!$G$9*MAX(0,EOMONTH(C59,0)-MAX(C59,'W Sites'!$F$9,'W Assumptions'!$D$58)+1)/DAY(EOMONTH(C59,0))</f>
        <v>1</v>
      </c>
      <c r="H59" s="81" t="n">
        <f aca="false">'W Sites'!$H$9*F59*'W Sites'!$I$9*IF(((YEAR(C59)-YEAR('W Sites'!$F$9))*12+MONTH(C59)-MONTH('W Sites'!$F$9))=0,'W Assumptions'!$D$62,IF(((YEAR(C59)-YEAR('W Sites'!$F$9))*12+MONTH(C59)-MONTH('W Sites'!$F$9))=1,'W Assumptions'!$D$63,1))*INDEX('W Assumptions'!$D$7:$F$7,1,D59)*INDEX('W Assumptions'!$D$32:$F$32,1,D59)*INDEX('W Assumptions'!$D$80:$D$91,MONTH(C59),1)/AVERAGE('W Assumptions'!$D$80:$D$91)</f>
        <v>1996.52777777778</v>
      </c>
      <c r="I59" s="81" t="n">
        <f aca="false">H59*'W Sites'!$J$9/(1+'W Assumptions'!$D$39)*INDEX('W Assumptions'!$D$12:$F$12,1,D59)*INDEX('W Assumptions'!$D$33:$F$33,1,D59)</f>
        <v>112847.222222222</v>
      </c>
      <c r="J59" s="81" t="n">
        <f aca="false">H59*'W Sites'!$K$9/(1+'W Assumptions'!$D$39)*INDEX('W Assumptions'!$D$12:$F$12,1,D59)*INDEX('W Assumptions'!$D$33:$F$33,1,D59)</f>
        <v>12152.7777777778</v>
      </c>
      <c r="K59" s="81" t="n">
        <f aca="false">'W Sites'!$L$9*F59*IF(((YEAR(C59)-YEAR('W Sites'!$F$9))*12+MONTH(C59)-MONTH('W Sites'!$F$9))=0,'W Assumptions'!$D$62,IF(((YEAR(C59)-YEAR('W Sites'!$F$9))*12+MONTH(C59)-MONTH('W Sites'!$F$9))=1,'W Assumptions'!$D$63,1))*INDEX('W Assumptions'!$D$7:$F$7,1,D59)*INDEX('W Assumptions'!$D$32:$F$32,1,D59)</f>
        <v>15000</v>
      </c>
      <c r="L59" s="81" t="n">
        <f aca="false">SUM(I59:K59)</f>
        <v>140000</v>
      </c>
      <c r="M59" s="81" t="n">
        <f aca="false">'W Site Costs'!$I$9*F59*INDEX('W Assumptions'!$D$34:$F$34,1,D59)*INDEX('W Assumptions'!$D$22:$F$22,1,D59)</f>
        <v>37760</v>
      </c>
      <c r="N59" s="81" t="n">
        <f aca="false">'W Site Costs'!$J$9*F59*INDEX('W Assumptions'!$D$35:$F$35,1,D59)*INDEX('W Assumptions'!$D$22:$F$22,1,D59)</f>
        <v>22000</v>
      </c>
      <c r="O59" s="81" t="n">
        <f aca="false">L59*'W Site Costs'!$K$9</f>
        <v>0</v>
      </c>
      <c r="P59" s="81" t="n">
        <f aca="false">SUM('W Site Costs'!$L$9:$Q$9)*F59*INDEX('W Assumptions'!$D$35:$F$35,1,D59)*INDEX('W Assumptions'!$D$22:$F$22,1,D59)</f>
        <v>15500</v>
      </c>
      <c r="Q59" s="81" t="n">
        <f aca="false">L59*'W Site Costs'!$R$9*INDEX('W Assumptions'!$D$17:$F$17,1,D59)</f>
        <v>11200</v>
      </c>
      <c r="R59" s="112" t="n">
        <f aca="false">L59*'W Sites'!$M$9</f>
        <v>0</v>
      </c>
      <c r="S59" s="81" t="n">
        <f aca="false">SUM(M59:R59)</f>
        <v>86460</v>
      </c>
      <c r="T59" s="81" t="n">
        <f aca="false">L59-S59</f>
        <v>53540</v>
      </c>
      <c r="U59" s="81" t="n">
        <f aca="false">IF(C59='W Budget &amp; Owners'!$I$9,'W Budget &amp; Owners'!$F$9*'W Sites'!$G$9,0)</f>
        <v>0</v>
      </c>
      <c r="V59" s="81" t="n">
        <f aca="false">'W Sites'!$G$9*'W Budget &amp; Owners'!$E$9*INDEX('W Assumptions'!$D$27:$F$27,1,D59)*(IF(C59='W Budget &amp; Owners'!$I$9,'W Assumptions'!$D$65,0)+IF(C59=DATE(YEAR('W Sites'!$F$9),MONTH('W Sites'!$F$9),1),1-'W Assumptions'!$D$65,0))+'W Sites'!$G$9*'W Budget &amp; Owners'!$E$9*IF(C59=DATE(2027,9,1),'W Assumptions'!$D$67,IF(C59=DATE(2028,9,1),'W Assumptions'!$D$69,0))</f>
        <v>0</v>
      </c>
      <c r="W59" s="81" t="n">
        <f aca="false">IF(((YEAR(C59)-YEAR('W Sites'!$F$9))*12+MONTH(C59)-MONTH('W Sites'!$F$9))&lt;'W Budget &amp; Owners'!$H$9,'W Budget &amp; Owners'!$E$9/'W Budget &amp; Owners'!$H$9*F59,0)+IF(C59&gt;=DATE(2027,9,1),'W Budget &amp; Owners'!$E$9*'W Assumptions'!$D$67/'W Budget &amp; Owners'!$H$9*F59,0)+IF(C59&gt;=DATE(2028,9,1),'W Budget &amp; Owners'!$E$9*'W Assumptions'!$D$69/'W Budget &amp; Owners'!$H$9*F59,0)</f>
        <v>8333.33333333333</v>
      </c>
      <c r="X59" s="81" t="n">
        <f aca="false">IF(C59='W Budget &amp; Owners'!$I$9,'W Budget &amp; Owners'!$G$9*'W Sites'!$G$9,0)</f>
        <v>0</v>
      </c>
      <c r="Y59" s="112" t="n">
        <f aca="false">IF(SUM($G$56:$G$65)=0,0,'W Fees &amp; KPI'!$Q$11*G59/SUM($G$56:$G$65))</f>
        <v>1733.07899654234</v>
      </c>
      <c r="Z59" s="119" t="n">
        <f aca="false">IF(SUM($G$56:$G$65)=0,0,SUM('W Fees &amp; KPI'!$J$11,'W Fees &amp; KPI'!$M$11)*G59/SUM($G$56:$G$65))</f>
        <v>4646.29441624366</v>
      </c>
      <c r="AA59" s="117" t="n">
        <f aca="false">T59-U59-Z59-Y59</f>
        <v>47160.626587214</v>
      </c>
      <c r="AB59" s="119" t="n">
        <f aca="false">IF('W Fees &amp; KPI'!$D$11=0,0,T59-U59-Z59)</f>
        <v>48893.7055837563</v>
      </c>
    </row>
    <row r="60" customFormat="false" ht="21" hidden="false" customHeight="true" outlineLevel="0" collapsed="false">
      <c r="C60" s="144" t="n">
        <f aca="false">46419</f>
        <v>46419</v>
      </c>
      <c r="D60" s="81" t="n">
        <f aca="false">1</f>
        <v>1</v>
      </c>
      <c r="E60" s="81" t="str">
        <f aca="false">'W Sites'!C10</f>
        <v>S05</v>
      </c>
      <c r="F60" s="145" t="n">
        <f aca="false">'W Sites'!$G$10*MAX(0,EOMONTH(C60,0)-MAX(C60,'W Sites'!$F$10)+1)/DAY(EOMONTH(C60,0))</f>
        <v>1</v>
      </c>
      <c r="G60" s="145" t="n">
        <f aca="false">'W Sites'!$G$10*MAX(0,EOMONTH(C60,0)-MAX(C60,'W Sites'!$F$10,'W Assumptions'!$D$58)+1)/DAY(EOMONTH(C60,0))</f>
        <v>1</v>
      </c>
      <c r="H60" s="81" t="n">
        <f aca="false">'W Sites'!$H$10*F60*'W Sites'!$I$10*IF(((YEAR(C60)-YEAR('W Sites'!$F$10))*12+MONTH(C60)-MONTH('W Sites'!$F$10))=0,'W Assumptions'!$D$62,IF(((YEAR(C60)-YEAR('W Sites'!$F$10))*12+MONTH(C60)-MONTH('W Sites'!$F$10))=1,'W Assumptions'!$D$63,1))*INDEX('W Assumptions'!$D$7:$F$7,1,D60)*INDEX('W Assumptions'!$D$32:$F$32,1,D60)*INDEX('W Assumptions'!$D$80:$D$91,MONTH(C60),1)/AVERAGE('W Assumptions'!$D$80:$D$91)</f>
        <v>2552.05479452055</v>
      </c>
      <c r="I60" s="81" t="n">
        <f aca="false">H60*'W Sites'!$J$10/(1+'W Assumptions'!$D$39)*INDEX('W Assumptions'!$D$12:$F$12,1,D60)*INDEX('W Assumptions'!$D$33:$F$33,1,D60)</f>
        <v>144246.575342466</v>
      </c>
      <c r="J60" s="81" t="n">
        <f aca="false">H60*'W Sites'!$K$10/(1+'W Assumptions'!$D$39)*INDEX('W Assumptions'!$D$12:$F$12,1,D60)*INDEX('W Assumptions'!$D$33:$F$33,1,D60)</f>
        <v>17753.4246575342</v>
      </c>
      <c r="K60" s="81" t="n">
        <f aca="false">'W Sites'!$L$10*F60*IF(((YEAR(C60)-YEAR('W Sites'!$F$10))*12+MONTH(C60)-MONTH('W Sites'!$F$10))=0,'W Assumptions'!$D$62,IF(((YEAR(C60)-YEAR('W Sites'!$F$10))*12+MONTH(C60)-MONTH('W Sites'!$F$10))=1,'W Assumptions'!$D$63,1))*INDEX('W Assumptions'!$D$7:$F$7,1,D60)*INDEX('W Assumptions'!$D$32:$F$32,1,D60)</f>
        <v>18000</v>
      </c>
      <c r="L60" s="81" t="n">
        <f aca="false">SUM(I60:K60)</f>
        <v>180000</v>
      </c>
      <c r="M60" s="81" t="n">
        <f aca="false">'W Site Costs'!$I$10*F60*INDEX('W Assumptions'!$D$34:$F$34,1,D60)*INDEX('W Assumptions'!$D$22:$F$22,1,D60)</f>
        <v>48026</v>
      </c>
      <c r="N60" s="81" t="n">
        <f aca="false">'W Site Costs'!$J$10*F60*INDEX('W Assumptions'!$D$35:$F$35,1,D60)*INDEX('W Assumptions'!$D$22:$F$22,1,D60)</f>
        <v>30000</v>
      </c>
      <c r="O60" s="81" t="n">
        <f aca="false">L60*'W Site Costs'!$K$10</f>
        <v>0</v>
      </c>
      <c r="P60" s="81" t="n">
        <f aca="false">SUM('W Site Costs'!$L$10:$Q$10)*F60*INDEX('W Assumptions'!$D$35:$F$35,1,D60)*INDEX('W Assumptions'!$D$22:$F$22,1,D60)</f>
        <v>19000</v>
      </c>
      <c r="Q60" s="81" t="n">
        <f aca="false">L60*'W Site Costs'!$R$10*INDEX('W Assumptions'!$D$17:$F$17,1,D60)</f>
        <v>14400</v>
      </c>
      <c r="R60" s="112" t="n">
        <f aca="false">L60*'W Sites'!$M$10</f>
        <v>0</v>
      </c>
      <c r="S60" s="81" t="n">
        <f aca="false">SUM(M60:R60)</f>
        <v>111426</v>
      </c>
      <c r="T60" s="81" t="n">
        <f aca="false">L60-S60</f>
        <v>68574</v>
      </c>
      <c r="U60" s="81" t="n">
        <f aca="false">IF(C60='W Budget &amp; Owners'!$I$10,'W Budget &amp; Owners'!$F$10*'W Sites'!$G$10,0)</f>
        <v>0</v>
      </c>
      <c r="V60" s="81" t="n">
        <f aca="false">'W Sites'!$G$10*'W Budget &amp; Owners'!$E$10*INDEX('W Assumptions'!$D$27:$F$27,1,D60)*(IF(C60='W Budget &amp; Owners'!$I$10,'W Assumptions'!$D$65,0)+IF(C60=DATE(YEAR('W Sites'!$F$10),MONTH('W Sites'!$F$10),1),1-'W Assumptions'!$D$65,0))+'W Sites'!$G$10*'W Budget &amp; Owners'!$E$10*IF(C60=DATE(2027,9,1),'W Assumptions'!$D$67,IF(C60=DATE(2028,9,1),'W Assumptions'!$D$69,0))</f>
        <v>0</v>
      </c>
      <c r="W60" s="81" t="n">
        <f aca="false">IF(((YEAR(C60)-YEAR('W Sites'!$F$10))*12+MONTH(C60)-MONTH('W Sites'!$F$10))&lt;'W Budget &amp; Owners'!$H$10,'W Budget &amp; Owners'!$E$10/'W Budget &amp; Owners'!$H$10*F60,0)+IF(C60&gt;=DATE(2027,9,1),'W Budget &amp; Owners'!$E$10*'W Assumptions'!$D$67/'W Budget &amp; Owners'!$H$10*F60,0)+IF(C60&gt;=DATE(2028,9,1),'W Budget &amp; Owners'!$E$10*'W Assumptions'!$D$69/'W Budget &amp; Owners'!$H$10*F60,0)</f>
        <v>12500</v>
      </c>
      <c r="X60" s="81" t="n">
        <f aca="false">IF(C60='W Budget &amp; Owners'!$I$10,'W Budget &amp; Owners'!$G$10*'W Sites'!$G$10,0)</f>
        <v>0</v>
      </c>
      <c r="Y60" s="112" t="n">
        <f aca="false">IF(SUM($G$56:$G$65)=0,0,'W Fees &amp; KPI'!$Q$11*G60/SUM($G$56:$G$65))</f>
        <v>1733.07899654234</v>
      </c>
      <c r="Z60" s="119" t="n">
        <f aca="false">IF(SUM($G$56:$G$65)=0,0,SUM('W Fees &amp; KPI'!$J$11,'W Fees &amp; KPI'!$M$11)*G60/SUM($G$56:$G$65))</f>
        <v>4646.29441624366</v>
      </c>
      <c r="AA60" s="117" t="n">
        <f aca="false">T60-U60-Z60-Y60</f>
        <v>62194.626587214</v>
      </c>
      <c r="AB60" s="119" t="n">
        <f aca="false">IF('W Fees &amp; KPI'!$D$11=0,0,T60-U60-Z60)</f>
        <v>63927.7055837564</v>
      </c>
    </row>
    <row r="61" customFormat="false" ht="21" hidden="false" customHeight="true" outlineLevel="0" collapsed="false">
      <c r="C61" s="144" t="n">
        <f aca="false">46419</f>
        <v>46419</v>
      </c>
      <c r="D61" s="81" t="n">
        <f aca="false">1</f>
        <v>1</v>
      </c>
      <c r="E61" s="81" t="str">
        <f aca="false">'W Sites'!C11</f>
        <v>S06</v>
      </c>
      <c r="F61" s="145" t="n">
        <f aca="false">'W Sites'!$G$11*MAX(0,EOMONTH(C61,0)-MAX(C61,'W Sites'!$F$11)+1)/DAY(EOMONTH(C61,0))</f>
        <v>1</v>
      </c>
      <c r="G61" s="145" t="n">
        <f aca="false">'W Sites'!$G$11*MAX(0,EOMONTH(C61,0)-MAX(C61,'W Sites'!$F$11,'W Assumptions'!$D$58)+1)/DAY(EOMONTH(C61,0))</f>
        <v>1</v>
      </c>
      <c r="H61" s="81" t="n">
        <f aca="false">'W Sites'!$H$11*F61*'W Sites'!$I$11*IF(((YEAR(C61)-YEAR('W Sites'!$F$11))*12+MONTH(C61)-MONTH('W Sites'!$F$11))=0,'W Assumptions'!$D$62,IF(((YEAR(C61)-YEAR('W Sites'!$F$11))*12+MONTH(C61)-MONTH('W Sites'!$F$11))=1,'W Assumptions'!$D$63,1))*INDEX('W Assumptions'!$D$7:$F$7,1,D61)*INDEX('W Assumptions'!$D$32:$F$32,1,D61)*INDEX('W Assumptions'!$D$80:$D$91,MONTH(C61),1)/AVERAGE('W Assumptions'!$D$80:$D$91)</f>
        <v>780</v>
      </c>
      <c r="I61" s="81" t="n">
        <f aca="false">H61*'W Sites'!$J$11/(1+'W Assumptions'!$D$39)*INDEX('W Assumptions'!$D$12:$F$12,1,D61)*INDEX('W Assumptions'!$D$33:$F$33,1,D61)</f>
        <v>40695.6521739131</v>
      </c>
      <c r="J61" s="81" t="n">
        <f aca="false">H61*'W Sites'!$K$11/(1+'W Assumptions'!$D$39)*INDEX('W Assumptions'!$D$12:$F$12,1,D61)*INDEX('W Assumptions'!$D$33:$F$33,1,D61)</f>
        <v>2034.78260869565</v>
      </c>
      <c r="K61" s="81" t="n">
        <f aca="false">'W Sites'!$L$11*F61*IF(((YEAR(C61)-YEAR('W Sites'!$F$11))*12+MONTH(C61)-MONTH('W Sites'!$F$11))=0,'W Assumptions'!$D$62,IF(((YEAR(C61)-YEAR('W Sites'!$F$11))*12+MONTH(C61)-MONTH('W Sites'!$F$11))=1,'W Assumptions'!$D$63,1))*INDEX('W Assumptions'!$D$7:$F$7,1,D61)*INDEX('W Assumptions'!$D$32:$F$32,1,D61)</f>
        <v>20000</v>
      </c>
      <c r="L61" s="81" t="n">
        <f aca="false">SUM(I61:K61)</f>
        <v>62730.4347826087</v>
      </c>
      <c r="M61" s="81" t="n">
        <f aca="false">'W Site Costs'!$I$11*F61*INDEX('W Assumptions'!$D$34:$F$34,1,D61)*INDEX('W Assumptions'!$D$22:$F$22,1,D61)</f>
        <v>23836</v>
      </c>
      <c r="N61" s="81" t="n">
        <f aca="false">'W Site Costs'!$J$11*F61*INDEX('W Assumptions'!$D$35:$F$35,1,D61)*INDEX('W Assumptions'!$D$22:$F$22,1,D61)</f>
        <v>5000</v>
      </c>
      <c r="O61" s="81" t="n">
        <f aca="false">L61*'W Site Costs'!$K$11</f>
        <v>0</v>
      </c>
      <c r="P61" s="81" t="n">
        <f aca="false">SUM('W Site Costs'!$L$11:$Q$11)*F61*INDEX('W Assumptions'!$D$35:$F$35,1,D61)*INDEX('W Assumptions'!$D$22:$F$22,1,D61)</f>
        <v>8000</v>
      </c>
      <c r="Q61" s="81" t="n">
        <f aca="false">L61*'W Site Costs'!$R$11*INDEX('W Assumptions'!$D$17:$F$17,1,D61)</f>
        <v>6273.04347826087</v>
      </c>
      <c r="R61" s="112" t="n">
        <f aca="false">L61*'W Sites'!$M$11</f>
        <v>0</v>
      </c>
      <c r="S61" s="81" t="n">
        <f aca="false">SUM(M61:R61)</f>
        <v>43109.0434782609</v>
      </c>
      <c r="T61" s="81" t="n">
        <f aca="false">L61-S61</f>
        <v>19621.3913043478</v>
      </c>
      <c r="U61" s="81" t="n">
        <f aca="false">IF(C61='W Budget &amp; Owners'!$I$11,'W Budget &amp; Owners'!$F$11*'W Sites'!$G$11,0)</f>
        <v>0</v>
      </c>
      <c r="V61" s="81" t="n">
        <f aca="false">'W Sites'!$G$11*'W Budget &amp; Owners'!$E$11*INDEX('W Assumptions'!$D$27:$F$27,1,D61)*(IF(C61='W Budget &amp; Owners'!$I$11,'W Assumptions'!$D$65,0)+IF(C61=DATE(YEAR('W Sites'!$F$11),MONTH('W Sites'!$F$11),1),1-'W Assumptions'!$D$65,0))+'W Sites'!$G$11*'W Budget &amp; Owners'!$E$11*IF(C61=DATE(2027,9,1),'W Assumptions'!$D$67,IF(C61=DATE(2028,9,1),'W Assumptions'!$D$69,0))</f>
        <v>0</v>
      </c>
      <c r="W61" s="81" t="n">
        <f aca="false">IF(((YEAR(C61)-YEAR('W Sites'!$F$11))*12+MONTH(C61)-MONTH('W Sites'!$F$11))&lt;'W Budget &amp; Owners'!$H$11,'W Budget &amp; Owners'!$E$11/'W Budget &amp; Owners'!$H$11*F61,0)+IF(C61&gt;=DATE(2027,9,1),'W Budget &amp; Owners'!$E$11*'W Assumptions'!$D$67/'W Budget &amp; Owners'!$H$11*F61,0)+IF(C61&gt;=DATE(2028,9,1),'W Budget &amp; Owners'!$E$11*'W Assumptions'!$D$69/'W Budget &amp; Owners'!$H$11*F61,0)</f>
        <v>2500</v>
      </c>
      <c r="X61" s="81" t="n">
        <f aca="false">IF(C61='W Budget &amp; Owners'!$I$11,'W Budget &amp; Owners'!$G$11*'W Sites'!$G$11,0)</f>
        <v>0</v>
      </c>
      <c r="Y61" s="112" t="n">
        <f aca="false">IF(SUM($G$56:$G$65)=0,0,'W Fees &amp; KPI'!$Q$11*G61/SUM($G$56:$G$65))</f>
        <v>1733.07899654234</v>
      </c>
      <c r="Z61" s="119" t="n">
        <f aca="false">IF(SUM($G$56:$G$65)=0,0,SUM('W Fees &amp; KPI'!$J$11,'W Fees &amp; KPI'!$M$11)*G61/SUM($G$56:$G$65))</f>
        <v>4646.29441624366</v>
      </c>
      <c r="AA61" s="117" t="n">
        <f aca="false">T61-U61-Z61-Y61</f>
        <v>13242.0178915618</v>
      </c>
      <c r="AB61" s="119" t="n">
        <f aca="false">IF('W Fees &amp; KPI'!$D$11=0,0,T61-U61-Z61)</f>
        <v>14975.0968881042</v>
      </c>
    </row>
    <row r="62" customFormat="false" ht="21" hidden="false" customHeight="true" outlineLevel="0" collapsed="false">
      <c r="C62" s="144" t="n">
        <f aca="false">46419</f>
        <v>46419</v>
      </c>
      <c r="D62" s="81" t="n">
        <f aca="false">1</f>
        <v>1</v>
      </c>
      <c r="E62" s="81" t="str">
        <f aca="false">'W Sites'!C12</f>
        <v>S07</v>
      </c>
      <c r="F62" s="145" t="n">
        <f aca="false">'W Sites'!$G$12*MAX(0,EOMONTH(C62,0)-MAX(C62,'W Sites'!$F$12)+1)/DAY(EOMONTH(C62,0))</f>
        <v>1</v>
      </c>
      <c r="G62" s="145" t="n">
        <f aca="false">'W Sites'!$G$12*MAX(0,EOMONTH(C62,0)-MAX(C62,'W Sites'!$F$12,'W Assumptions'!$D$58)+1)/DAY(EOMONTH(C62,0))</f>
        <v>1</v>
      </c>
      <c r="H62" s="81" t="n">
        <f aca="false">'W Sites'!$H$12*F62*'W Sites'!$I$12*IF(((YEAR(C62)-YEAR('W Sites'!$F$12))*12+MONTH(C62)-MONTH('W Sites'!$F$12))=0,'W Assumptions'!$D$62,IF(((YEAR(C62)-YEAR('W Sites'!$F$12))*12+MONTH(C62)-MONTH('W Sites'!$F$12))=1,'W Assumptions'!$D$63,1))*INDEX('W Assumptions'!$D$7:$F$7,1,D62)*INDEX('W Assumptions'!$D$32:$F$32,1,D62)*INDEX('W Assumptions'!$D$80:$D$91,MONTH(C62),1)/AVERAGE('W Assumptions'!$D$80:$D$91)</f>
        <v>728</v>
      </c>
      <c r="I62" s="81" t="n">
        <f aca="false">H62*'W Sites'!$J$12/(1+'W Assumptions'!$D$39)*INDEX('W Assumptions'!$D$12:$F$12,1,D62)*INDEX('W Assumptions'!$D$33:$F$33,1,D62)</f>
        <v>37982.6086956522</v>
      </c>
      <c r="J62" s="81" t="n">
        <f aca="false">H62*'W Sites'!$K$12/(1+'W Assumptions'!$D$39)*INDEX('W Assumptions'!$D$12:$F$12,1,D62)*INDEX('W Assumptions'!$D$33:$F$33,1,D62)</f>
        <v>1899.13043478261</v>
      </c>
      <c r="K62" s="81" t="n">
        <f aca="false">'W Sites'!$L$12*F62*IF(((YEAR(C62)-YEAR('W Sites'!$F$12))*12+MONTH(C62)-MONTH('W Sites'!$F$12))=0,'W Assumptions'!$D$62,IF(((YEAR(C62)-YEAR('W Sites'!$F$12))*12+MONTH(C62)-MONTH('W Sites'!$F$12))=1,'W Assumptions'!$D$63,1))*INDEX('W Assumptions'!$D$7:$F$7,1,D62)*INDEX('W Assumptions'!$D$32:$F$32,1,D62)</f>
        <v>14400</v>
      </c>
      <c r="L62" s="81" t="n">
        <f aca="false">SUM(I62:K62)</f>
        <v>54281.7391304348</v>
      </c>
      <c r="M62" s="81" t="n">
        <f aca="false">'W Site Costs'!$I$12*F62*INDEX('W Assumptions'!$D$34:$F$34,1,D62)*INDEX('W Assumptions'!$D$22:$F$22,1,D62)</f>
        <v>23836</v>
      </c>
      <c r="N62" s="81" t="n">
        <f aca="false">'W Site Costs'!$J$12*F62*INDEX('W Assumptions'!$D$35:$F$35,1,D62)*INDEX('W Assumptions'!$D$22:$F$22,1,D62)</f>
        <v>8000</v>
      </c>
      <c r="O62" s="81" t="n">
        <f aca="false">L62*'W Site Costs'!$K$12</f>
        <v>0</v>
      </c>
      <c r="P62" s="81" t="n">
        <f aca="false">SUM('W Site Costs'!$L$12:$Q$12)*F62*INDEX('W Assumptions'!$D$35:$F$35,1,D62)*INDEX('W Assumptions'!$D$22:$F$22,1,D62)</f>
        <v>8500</v>
      </c>
      <c r="Q62" s="81" t="n">
        <f aca="false">L62*'W Site Costs'!$R$12*INDEX('W Assumptions'!$D$17:$F$17,1,D62)</f>
        <v>5428.17391304348</v>
      </c>
      <c r="R62" s="112" t="n">
        <f aca="false">L62*'W Sites'!$M$12</f>
        <v>0</v>
      </c>
      <c r="S62" s="81" t="n">
        <f aca="false">SUM(M62:R62)</f>
        <v>45764.1739130435</v>
      </c>
      <c r="T62" s="81" t="n">
        <f aca="false">L62-S62</f>
        <v>8517.5652173913</v>
      </c>
      <c r="U62" s="81" t="n">
        <f aca="false">IF(C62='W Budget &amp; Owners'!$I$12,'W Budget &amp; Owners'!$F$12*'W Sites'!$G$12,0)</f>
        <v>0</v>
      </c>
      <c r="V62" s="81" t="n">
        <f aca="false">'W Sites'!$G$12*'W Budget &amp; Owners'!$E$12*INDEX('W Assumptions'!$D$27:$F$27,1,D62)*(IF(C62='W Budget &amp; Owners'!$I$12,'W Assumptions'!$D$65,0)+IF(C62=DATE(YEAR('W Sites'!$F$12),MONTH('W Sites'!$F$12),1),1-'W Assumptions'!$D$65,0))+'W Sites'!$G$12*'W Budget &amp; Owners'!$E$12*IF(C62=DATE(2027,9,1),'W Assumptions'!$D$67,IF(C62=DATE(2028,9,1),'W Assumptions'!$D$69,0))</f>
        <v>0</v>
      </c>
      <c r="W62" s="81" t="n">
        <f aca="false">IF(((YEAR(C62)-YEAR('W Sites'!$F$12))*12+MONTH(C62)-MONTH('W Sites'!$F$12))&lt;'W Budget &amp; Owners'!$H$12,'W Budget &amp; Owners'!$E$12/'W Budget &amp; Owners'!$H$12*F62,0)+IF(C62&gt;=DATE(2027,9,1),'W Budget &amp; Owners'!$E$12*'W Assumptions'!$D$67/'W Budget &amp; Owners'!$H$12*F62,0)+IF(C62&gt;=DATE(2028,9,1),'W Budget &amp; Owners'!$E$12*'W Assumptions'!$D$69/'W Budget &amp; Owners'!$H$12*F62,0)</f>
        <v>7500</v>
      </c>
      <c r="X62" s="81" t="n">
        <f aca="false">IF(C62='W Budget &amp; Owners'!$I$12,'W Budget &amp; Owners'!$G$12*'W Sites'!$G$12,0)</f>
        <v>0</v>
      </c>
      <c r="Y62" s="112" t="n">
        <f aca="false">IF(SUM($G$56:$G$65)=0,0,'W Fees &amp; KPI'!$Q$11*G62/SUM($G$56:$G$65))</f>
        <v>1733.07899654234</v>
      </c>
      <c r="Z62" s="119" t="n">
        <f aca="false">IF(SUM($G$56:$G$65)=0,0,SUM('W Fees &amp; KPI'!$J$11,'W Fees &amp; KPI'!$M$11)*G62/SUM($G$56:$G$65))</f>
        <v>4646.29441624366</v>
      </c>
      <c r="AA62" s="117" t="n">
        <f aca="false">T62-U62-Z62-Y62</f>
        <v>2138.19180460531</v>
      </c>
      <c r="AB62" s="119" t="n">
        <f aca="false">IF('W Fees &amp; KPI'!$D$11=0,0,T62-U62-Z62)</f>
        <v>3871.27080114765</v>
      </c>
    </row>
    <row r="63" customFormat="false" ht="21" hidden="false" customHeight="true" outlineLevel="0" collapsed="false">
      <c r="C63" s="144" t="n">
        <f aca="false">46419</f>
        <v>46419</v>
      </c>
      <c r="D63" s="81" t="n">
        <f aca="false">1</f>
        <v>1</v>
      </c>
      <c r="E63" s="81" t="str">
        <f aca="false">'W Sites'!C13</f>
        <v>S08</v>
      </c>
      <c r="F63" s="145" t="n">
        <f aca="false">'W Sites'!$G$13*MAX(0,EOMONTH(C63,0)-MAX(C63,'W Sites'!$F$13)+1)/DAY(EOMONTH(C63,0))</f>
        <v>0.0357142857142857</v>
      </c>
      <c r="G63" s="145" t="n">
        <f aca="false">'W Sites'!$G$13*MAX(0,EOMONTH(C63,0)-MAX(C63,'W Sites'!$F$13,'W Assumptions'!$D$58)+1)/DAY(EOMONTH(C63,0))</f>
        <v>0.0357142857142857</v>
      </c>
      <c r="H63" s="81" t="n">
        <f aca="false">'W Sites'!$H$13*F63*'W Sites'!$I$13*IF(((YEAR(C63)-YEAR('W Sites'!$F$13))*12+MONTH(C63)-MONTH('W Sites'!$F$13))=0,'W Assumptions'!$D$62,IF(((YEAR(C63)-YEAR('W Sites'!$F$13))*12+MONTH(C63)-MONTH('W Sites'!$F$13))=1,'W Assumptions'!$D$63,1))*INDEX('W Assumptions'!$D$7:$F$7,1,D63)*INDEX('W Assumptions'!$D$32:$F$32,1,D63)*INDEX('W Assumptions'!$D$80:$D$91,MONTH(C63),1)/AVERAGE('W Assumptions'!$D$80:$D$91)</f>
        <v>83.5714285714286</v>
      </c>
      <c r="I63" s="81" t="n">
        <f aca="false">H63*'W Sites'!$J$13/(1+'W Assumptions'!$D$39)*INDEX('W Assumptions'!$D$12:$F$12,1,D63)*INDEX('W Assumptions'!$D$33:$F$33,1,D63)</f>
        <v>2906.83229813665</v>
      </c>
      <c r="J63" s="81" t="n">
        <f aca="false">H63*'W Sites'!$K$13/(1+'W Assumptions'!$D$39)*INDEX('W Assumptions'!$D$12:$F$12,1,D63)*INDEX('W Assumptions'!$D$33:$F$33,1,D63)</f>
        <v>363.354037267081</v>
      </c>
      <c r="K63" s="81" t="n">
        <f aca="false">'W Sites'!$L$13*F63*IF(((YEAR(C63)-YEAR('W Sites'!$F$13))*12+MONTH(C63)-MONTH('W Sites'!$F$13))=0,'W Assumptions'!$D$62,IF(((YEAR(C63)-YEAR('W Sites'!$F$13))*12+MONTH(C63)-MONTH('W Sites'!$F$13))=1,'W Assumptions'!$D$63,1))*INDEX('W Assumptions'!$D$7:$F$7,1,D63)*INDEX('W Assumptions'!$D$32:$F$32,1,D63)</f>
        <v>321.428571428571</v>
      </c>
      <c r="L63" s="81" t="n">
        <f aca="false">SUM(I63:K63)</f>
        <v>3591.6149068323</v>
      </c>
      <c r="M63" s="81" t="n">
        <f aca="false">'W Site Costs'!$I$13*F63*INDEX('W Assumptions'!$D$34:$F$34,1,D63)*INDEX('W Assumptions'!$D$22:$F$22,1,D63)</f>
        <v>1904.85714285714</v>
      </c>
      <c r="N63" s="81" t="n">
        <f aca="false">'W Site Costs'!$J$13*F63*INDEX('W Assumptions'!$D$35:$F$35,1,D63)*INDEX('W Assumptions'!$D$22:$F$22,1,D63)</f>
        <v>0</v>
      </c>
      <c r="O63" s="81" t="n">
        <f aca="false">L63*'W Site Costs'!$K$13</f>
        <v>359.16149068323</v>
      </c>
      <c r="P63" s="81" t="n">
        <f aca="false">SUM('W Site Costs'!$L$13:$Q$13)*F63*INDEX('W Assumptions'!$D$35:$F$35,1,D63)*INDEX('W Assumptions'!$D$22:$F$22,1,D63)</f>
        <v>910.714285714286</v>
      </c>
      <c r="Q63" s="81" t="n">
        <f aca="false">L63*'W Site Costs'!$R$13*INDEX('W Assumptions'!$D$17:$F$17,1,D63)</f>
        <v>287.329192546584</v>
      </c>
      <c r="R63" s="112" t="n">
        <f aca="false">L63*'W Sites'!$M$13</f>
        <v>0</v>
      </c>
      <c r="S63" s="81" t="n">
        <f aca="false">SUM(M63:R63)</f>
        <v>3462.06211180124</v>
      </c>
      <c r="T63" s="81" t="n">
        <f aca="false">L63-S63</f>
        <v>129.552795031057</v>
      </c>
      <c r="U63" s="81" t="n">
        <f aca="false">IF(C63='W Budget &amp; Owners'!$I$13,'W Budget &amp; Owners'!$F$13*'W Sites'!$G$13,0)</f>
        <v>0</v>
      </c>
      <c r="V63" s="81" t="n">
        <f aca="false">'W Sites'!$G$13*'W Budget &amp; Owners'!$E$13*INDEX('W Assumptions'!$D$27:$F$27,1,D63)*(IF(C63='W Budget &amp; Owners'!$I$13,'W Assumptions'!$D$65,0)+IF(C63=DATE(YEAR('W Sites'!$F$13),MONTH('W Sites'!$F$13),1),1-'W Assumptions'!$D$65,0))+'W Sites'!$G$13*'W Budget &amp; Owners'!$E$13*IF(C63=DATE(2027,9,1),'W Assumptions'!$D$67,IF(C63=DATE(2028,9,1),'W Assumptions'!$D$69,0))</f>
        <v>480000</v>
      </c>
      <c r="W63" s="81" t="n">
        <f aca="false">IF(((YEAR(C63)-YEAR('W Sites'!$F$13))*12+MONTH(C63)-MONTH('W Sites'!$F$13))&lt;'W Budget &amp; Owners'!$H$13,'W Budget &amp; Owners'!$E$13/'W Budget &amp; Owners'!$H$13*F63,0)+IF(C63&gt;=DATE(2027,9,1),'W Budget &amp; Owners'!$E$13*'W Assumptions'!$D$67/'W Budget &amp; Owners'!$H$13*F63,0)+IF(C63&gt;=DATE(2028,9,1),'W Budget &amp; Owners'!$E$13*'W Assumptions'!$D$69/'W Budget &amp; Owners'!$H$13*F63,0)</f>
        <v>714.285714285714</v>
      </c>
      <c r="X63" s="81" t="n">
        <f aca="false">IF(C63='W Budget &amp; Owners'!$I$13,'W Budget &amp; Owners'!$G$13*'W Sites'!$G$13,0)</f>
        <v>0</v>
      </c>
      <c r="Y63" s="112" t="n">
        <f aca="false">IF(SUM($G$56:$G$65)=0,0,'W Fees &amp; KPI'!$Q$11*G63/SUM($G$56:$G$65))</f>
        <v>61.8956784479406</v>
      </c>
      <c r="Z63" s="119" t="n">
        <f aca="false">IF(SUM($G$56:$G$65)=0,0,SUM('W Fees &amp; KPI'!$J$11,'W Fees &amp; KPI'!$M$11)*G63/SUM($G$56:$G$65))</f>
        <v>165.939086294416</v>
      </c>
      <c r="AA63" s="117" t="n">
        <f aca="false">T63-U63-Z63-Y63</f>
        <v>-98.2819697113003</v>
      </c>
      <c r="AB63" s="119" t="n">
        <f aca="false">IF('W Fees &amp; KPI'!$D$11=0,0,T63-U63-Z63)</f>
        <v>-36.3862912633597</v>
      </c>
    </row>
    <row r="64" customFormat="false" ht="21" hidden="false" customHeight="true" outlineLevel="0" collapsed="false">
      <c r="C64" s="144" t="n">
        <f aca="false">46419</f>
        <v>46419</v>
      </c>
      <c r="D64" s="81" t="n">
        <f aca="false">1</f>
        <v>1</v>
      </c>
      <c r="E64" s="81" t="str">
        <f aca="false">'W Sites'!C14</f>
        <v>S09</v>
      </c>
      <c r="F64" s="145" t="n">
        <f aca="false">'W Sites'!$G$14*MAX(0,EOMONTH(C64,0)-MAX(C64,'W Sites'!$F$14)+1)/DAY(EOMONTH(C64,0))</f>
        <v>0</v>
      </c>
      <c r="G64" s="145" t="n">
        <f aca="false">'W Sites'!$G$14*MAX(0,EOMONTH(C64,0)-MAX(C64,'W Sites'!$F$14,'W Assumptions'!$D$58)+1)/DAY(EOMONTH(C64,0))</f>
        <v>0</v>
      </c>
      <c r="H64" s="81" t="n">
        <f aca="false">'W Sites'!$H$14*F64*'W Sites'!$I$14*IF(((YEAR(C64)-YEAR('W Sites'!$F$14))*12+MONTH(C64)-MONTH('W Sites'!$F$14))=0,'W Assumptions'!$D$62,IF(((YEAR(C64)-YEAR('W Sites'!$F$14))*12+MONTH(C64)-MONTH('W Sites'!$F$14))=1,'W Assumptions'!$D$63,1))*INDEX('W Assumptions'!$D$7:$F$7,1,D64)*INDEX('W Assumptions'!$D$32:$F$32,1,D64)*INDEX('W Assumptions'!$D$80:$D$91,MONTH(C64),1)/AVERAGE('W Assumptions'!$D$80:$D$91)</f>
        <v>0</v>
      </c>
      <c r="I64" s="81" t="n">
        <f aca="false">H64*'W Sites'!$J$14/(1+'W Assumptions'!$D$39)*INDEX('W Assumptions'!$D$12:$F$12,1,D64)*INDEX('W Assumptions'!$D$33:$F$33,1,D64)</f>
        <v>0</v>
      </c>
      <c r="J64" s="81" t="n">
        <f aca="false">H64*'W Sites'!$K$14/(1+'W Assumptions'!$D$39)*INDEX('W Assumptions'!$D$12:$F$12,1,D64)*INDEX('W Assumptions'!$D$33:$F$33,1,D64)</f>
        <v>0</v>
      </c>
      <c r="K64" s="81" t="n">
        <f aca="false">'W Sites'!$L$14*F64*IF(((YEAR(C64)-YEAR('W Sites'!$F$14))*12+MONTH(C64)-MONTH('W Sites'!$F$14))=0,'W Assumptions'!$D$62,IF(((YEAR(C64)-YEAR('W Sites'!$F$14))*12+MONTH(C64)-MONTH('W Sites'!$F$14))=1,'W Assumptions'!$D$63,1))*INDEX('W Assumptions'!$D$7:$F$7,1,D64)*INDEX('W Assumptions'!$D$32:$F$32,1,D64)</f>
        <v>0</v>
      </c>
      <c r="L64" s="81" t="n">
        <f aca="false">SUM(I64:K64)</f>
        <v>0</v>
      </c>
      <c r="M64" s="81" t="n">
        <f aca="false">'W Site Costs'!$I$14*F64*INDEX('W Assumptions'!$D$34:$F$34,1,D64)*INDEX('W Assumptions'!$D$22:$F$22,1,D64)</f>
        <v>0</v>
      </c>
      <c r="N64" s="81" t="n">
        <f aca="false">'W Site Costs'!$J$14*F64*INDEX('W Assumptions'!$D$35:$F$35,1,D64)*INDEX('W Assumptions'!$D$22:$F$22,1,D64)</f>
        <v>0</v>
      </c>
      <c r="O64" s="81" t="n">
        <f aca="false">L64*'W Site Costs'!$K$14</f>
        <v>0</v>
      </c>
      <c r="P64" s="81" t="n">
        <f aca="false">SUM('W Site Costs'!$L$14:$Q$14)*F64*INDEX('W Assumptions'!$D$35:$F$35,1,D64)*INDEX('W Assumptions'!$D$22:$F$22,1,D64)</f>
        <v>0</v>
      </c>
      <c r="Q64" s="81" t="n">
        <f aca="false">L64*'W Site Costs'!$R$14*INDEX('W Assumptions'!$D$17:$F$17,1,D64)</f>
        <v>0</v>
      </c>
      <c r="R64" s="112" t="n">
        <f aca="false">L64*'W Sites'!$M$14</f>
        <v>0</v>
      </c>
      <c r="S64" s="81" t="n">
        <f aca="false">SUM(M64:R64)</f>
        <v>0</v>
      </c>
      <c r="T64" s="81" t="n">
        <f aca="false">L64-S64</f>
        <v>0</v>
      </c>
      <c r="U64" s="81" t="n">
        <f aca="false">IF(C64='W Budget &amp; Owners'!$I$14,'W Budget &amp; Owners'!$F$14*'W Sites'!$G$14,0)</f>
        <v>0</v>
      </c>
      <c r="V64" s="81" t="n">
        <f aca="false">'W Sites'!$G$14*'W Budget &amp; Owners'!$E$14*INDEX('W Assumptions'!$D$27:$F$27,1,D64)*(IF(C64='W Budget &amp; Owners'!$I$14,'W Assumptions'!$D$65,0)+IF(C64=DATE(YEAR('W Sites'!$F$14),MONTH('W Sites'!$F$14),1),1-'W Assumptions'!$D$65,0))+'W Sites'!$G$14*'W Budget &amp; Owners'!$E$14*IF(C64=DATE(2027,9,1),'W Assumptions'!$D$67,IF(C64=DATE(2028,9,1),'W Assumptions'!$D$69,0))</f>
        <v>0</v>
      </c>
      <c r="W64" s="81" t="n">
        <f aca="false">IF(((YEAR(C64)-YEAR('W Sites'!$F$14))*12+MONTH(C64)-MONTH('W Sites'!$F$14))&lt;'W Budget &amp; Owners'!$H$14,'W Budget &amp; Owners'!$E$14/'W Budget &amp; Owners'!$H$14*F64,0)+IF(C64&gt;=DATE(2027,9,1),'W Budget &amp; Owners'!$E$14*'W Assumptions'!$D$67/'W Budget &amp; Owners'!$H$14*F64,0)+IF(C64&gt;=DATE(2028,9,1),'W Budget &amp; Owners'!$E$14*'W Assumptions'!$D$69/'W Budget &amp; Owners'!$H$14*F64,0)</f>
        <v>0</v>
      </c>
      <c r="X64" s="81" t="n">
        <f aca="false">IF(C64='W Budget &amp; Owners'!$I$14,'W Budget &amp; Owners'!$G$14*'W Sites'!$G$14,0)</f>
        <v>0</v>
      </c>
      <c r="Y64" s="112" t="n">
        <f aca="false">IF(SUM($G$56:$G$65)=0,0,'W Fees &amp; KPI'!$Q$11*G64/SUM($G$56:$G$65))</f>
        <v>0</v>
      </c>
      <c r="Z64" s="119" t="n">
        <f aca="false">IF(SUM($G$56:$G$65)=0,0,SUM('W Fees &amp; KPI'!$J$11,'W Fees &amp; KPI'!$M$11)*G64/SUM($G$56:$G$65))</f>
        <v>0</v>
      </c>
      <c r="AA64" s="117" t="n">
        <f aca="false">T64-U64-Z64-Y64</f>
        <v>0</v>
      </c>
      <c r="AB64" s="119" t="n">
        <f aca="false">IF('W Fees &amp; KPI'!$D$11=0,0,T64-U64-Z64)</f>
        <v>0</v>
      </c>
    </row>
    <row r="65" customFormat="false" ht="21" hidden="false" customHeight="true" outlineLevel="0" collapsed="false">
      <c r="C65" s="144" t="n">
        <f aca="false">46419</f>
        <v>46419</v>
      </c>
      <c r="D65" s="81" t="n">
        <f aca="false">1</f>
        <v>1</v>
      </c>
      <c r="E65" s="81" t="str">
        <f aca="false">'W Sites'!C15</f>
        <v>S10</v>
      </c>
      <c r="F65" s="145" t="n">
        <f aca="false">'W Sites'!$G$15*MAX(0,EOMONTH(C65,0)-MAX(C65,'W Sites'!$F$15)+1)/DAY(EOMONTH(C65,0))</f>
        <v>0</v>
      </c>
      <c r="G65" s="145" t="n">
        <f aca="false">'W Sites'!$G$15*MAX(0,EOMONTH(C65,0)-MAX(C65,'W Sites'!$F$15,'W Assumptions'!$D$58)+1)/DAY(EOMONTH(C65,0))</f>
        <v>0</v>
      </c>
      <c r="H65" s="81" t="n">
        <f aca="false">'W Sites'!$H$15*F65*'W Sites'!$I$15*IF(((YEAR(C65)-YEAR('W Sites'!$F$15))*12+MONTH(C65)-MONTH('W Sites'!$F$15))=0,'W Assumptions'!$D$62,IF(((YEAR(C65)-YEAR('W Sites'!$F$15))*12+MONTH(C65)-MONTH('W Sites'!$F$15))=1,'W Assumptions'!$D$63,1))*INDEX('W Assumptions'!$D$7:$F$7,1,D65)*INDEX('W Assumptions'!$D$32:$F$32,1,D65)*INDEX('W Assumptions'!$D$80:$D$91,MONTH(C65),1)/AVERAGE('W Assumptions'!$D$80:$D$91)</f>
        <v>0</v>
      </c>
      <c r="I65" s="81" t="n">
        <f aca="false">H65*'W Sites'!$J$15/(1+'W Assumptions'!$D$39)*INDEX('W Assumptions'!$D$12:$F$12,1,D65)*INDEX('W Assumptions'!$D$33:$F$33,1,D65)</f>
        <v>0</v>
      </c>
      <c r="J65" s="81" t="n">
        <f aca="false">H65*'W Sites'!$K$15/(1+'W Assumptions'!$D$39)*INDEX('W Assumptions'!$D$12:$F$12,1,D65)*INDEX('W Assumptions'!$D$33:$F$33,1,D65)</f>
        <v>0</v>
      </c>
      <c r="K65" s="81" t="n">
        <f aca="false">'W Sites'!$L$15*F65*IF(((YEAR(C65)-YEAR('W Sites'!$F$15))*12+MONTH(C65)-MONTH('W Sites'!$F$15))=0,'W Assumptions'!$D$62,IF(((YEAR(C65)-YEAR('W Sites'!$F$15))*12+MONTH(C65)-MONTH('W Sites'!$F$15))=1,'W Assumptions'!$D$63,1))*INDEX('W Assumptions'!$D$7:$F$7,1,D65)*INDEX('W Assumptions'!$D$32:$F$32,1,D65)</f>
        <v>0</v>
      </c>
      <c r="L65" s="81" t="n">
        <f aca="false">SUM(I65:K65)</f>
        <v>0</v>
      </c>
      <c r="M65" s="81" t="n">
        <f aca="false">'W Site Costs'!$I$15*F65*INDEX('W Assumptions'!$D$34:$F$34,1,D65)*INDEX('W Assumptions'!$D$22:$F$22,1,D65)</f>
        <v>0</v>
      </c>
      <c r="N65" s="81" t="n">
        <f aca="false">'W Site Costs'!$J$15*F65*INDEX('W Assumptions'!$D$35:$F$35,1,D65)*INDEX('W Assumptions'!$D$22:$F$22,1,D65)</f>
        <v>0</v>
      </c>
      <c r="O65" s="81" t="n">
        <f aca="false">L65*'W Site Costs'!$K$15</f>
        <v>0</v>
      </c>
      <c r="P65" s="81" t="n">
        <f aca="false">SUM('W Site Costs'!$L$15:$Q$15)*F65*INDEX('W Assumptions'!$D$35:$F$35,1,D65)*INDEX('W Assumptions'!$D$22:$F$22,1,D65)</f>
        <v>0</v>
      </c>
      <c r="Q65" s="81" t="n">
        <f aca="false">L65*'W Site Costs'!$R$15*INDEX('W Assumptions'!$D$17:$F$17,1,D65)</f>
        <v>0</v>
      </c>
      <c r="R65" s="112" t="n">
        <f aca="false">L65*'W Sites'!$M$15</f>
        <v>0</v>
      </c>
      <c r="S65" s="81" t="n">
        <f aca="false">SUM(M65:R65)</f>
        <v>0</v>
      </c>
      <c r="T65" s="81" t="n">
        <f aca="false">L65-S65</f>
        <v>0</v>
      </c>
      <c r="U65" s="81" t="n">
        <f aca="false">IF(C65='W Budget &amp; Owners'!$I$15,'W Budget &amp; Owners'!$F$15*'W Sites'!$G$15,0)</f>
        <v>0</v>
      </c>
      <c r="V65" s="81" t="n">
        <f aca="false">'W Sites'!$G$15*'W Budget &amp; Owners'!$E$15*INDEX('W Assumptions'!$D$27:$F$27,1,D65)*(IF(C65='W Budget &amp; Owners'!$I$15,'W Assumptions'!$D$65,0)+IF(C65=DATE(YEAR('W Sites'!$F$15),MONTH('W Sites'!$F$15),1),1-'W Assumptions'!$D$65,0))+'W Sites'!$G$15*'W Budget &amp; Owners'!$E$15*IF(C65=DATE(2027,9,1),'W Assumptions'!$D$67,IF(C65=DATE(2028,9,1),'W Assumptions'!$D$69,0))</f>
        <v>0</v>
      </c>
      <c r="W65" s="81" t="n">
        <f aca="false">IF(((YEAR(C65)-YEAR('W Sites'!$F$15))*12+MONTH(C65)-MONTH('W Sites'!$F$15))&lt;'W Budget &amp; Owners'!$H$15,'W Budget &amp; Owners'!$E$15/'W Budget &amp; Owners'!$H$15*F65,0)+IF(C65&gt;=DATE(2027,9,1),'W Budget &amp; Owners'!$E$15*'W Assumptions'!$D$67/'W Budget &amp; Owners'!$H$15*F65,0)+IF(C65&gt;=DATE(2028,9,1),'W Budget &amp; Owners'!$E$15*'W Assumptions'!$D$69/'W Budget &amp; Owners'!$H$15*F65,0)</f>
        <v>0</v>
      </c>
      <c r="X65" s="81" t="n">
        <f aca="false">IF(C65='W Budget &amp; Owners'!$I$15,'W Budget &amp; Owners'!$G$15*'W Sites'!$G$15,0)</f>
        <v>0</v>
      </c>
      <c r="Y65" s="112" t="n">
        <f aca="false">IF(SUM($G$56:$G$65)=0,0,'W Fees &amp; KPI'!$Q$11*G65/SUM($G$56:$G$65))</f>
        <v>0</v>
      </c>
      <c r="Z65" s="119" t="n">
        <f aca="false">IF(SUM($G$56:$G$65)=0,0,SUM('W Fees &amp; KPI'!$J$11,'W Fees &amp; KPI'!$M$11)*G65/SUM($G$56:$G$65))</f>
        <v>0</v>
      </c>
      <c r="AA65" s="117" t="n">
        <f aca="false">T65-U65-Z65-Y65</f>
        <v>0</v>
      </c>
      <c r="AB65" s="119" t="n">
        <f aca="false">IF('W Fees &amp; KPI'!$D$11=0,0,T65-U65-Z65)</f>
        <v>0</v>
      </c>
    </row>
    <row r="66" customFormat="false" ht="21" hidden="false" customHeight="true" outlineLevel="0" collapsed="false">
      <c r="C66" s="144" t="n">
        <f aca="false">46447</f>
        <v>46447</v>
      </c>
      <c r="D66" s="81" t="n">
        <f aca="false">1</f>
        <v>1</v>
      </c>
      <c r="E66" s="81" t="str">
        <f aca="false">'W Sites'!C6</f>
        <v>S01</v>
      </c>
      <c r="F66" s="145" t="n">
        <f aca="false">'W Sites'!$G$6*MAX(0,EOMONTH(C66,0)-MAX(C66,'W Sites'!$F$6)+1)/DAY(EOMONTH(C66,0))</f>
        <v>1</v>
      </c>
      <c r="G66" s="145" t="n">
        <f aca="false">'W Sites'!$G$6*MAX(0,EOMONTH(C66,0)-MAX(C66,'W Sites'!$F$6,'W Assumptions'!$D$58)+1)/DAY(EOMONTH(C66,0))</f>
        <v>1</v>
      </c>
      <c r="H66" s="81" t="n">
        <f aca="false">'W Sites'!$D$45*INDEX('W Sites'!$E$65:$E$76,MONTH(C66),1)/SUM('W Sites'!$E$65:$E$76)*F66*(1+'W Sites'!$D$56)^(D66-1)*INDEX('W Assumptions'!$D$7:$F$7,1,D66)</f>
        <v>5860</v>
      </c>
      <c r="I66" s="81" t="n">
        <f aca="false">H66*'W Sites'!$D$46/(1+'W Sites'!$D$54*'W Assumptions'!$D$39)*INDEX('W Assumptions'!$D$12:$F$12,1,D66)</f>
        <v>322300</v>
      </c>
      <c r="J66" s="81" t="n">
        <f aca="false">H66*SUM('W Sites'!$D$47:$D$49)/(1+'W Sites'!$D$54*'W Assumptions'!$D$39)*INDEX('W Assumptions'!$D$12:$F$12,1,D66)</f>
        <v>175800</v>
      </c>
      <c r="K66" s="81" t="n">
        <f aca="false">SUM('W Sites'!$D$50:$D$52)/12*F66*(1+'W Sites'!$D$56)^(D66-1)*INDEX('W Assumptions'!$D$7:$F$7,1,D66)*INDEX('W Assumptions'!$D$12:$F$12,1,D66)/(1+'W Sites'!$D$54*'W Assumptions'!$D$39)</f>
        <v>33333.3333333333</v>
      </c>
      <c r="L66" s="81" t="n">
        <f aca="false">SUM(I66:K66)</f>
        <v>531433.333333333</v>
      </c>
      <c r="M66" s="81" t="n">
        <f aca="false">('W Site Costs'!$I$6+INDEX('W Sites'!$F$65:$F$76,MONTH(C66),1)*'W Site Costs'!$V$6)*F66*(1+'W Sites'!$D$58)^(D66-1)*INDEX('W Assumptions'!$D$22:$F$22,1,D66)</f>
        <v>163000</v>
      </c>
      <c r="N66" s="81" t="n">
        <f aca="false">'W Site Costs'!$J$6*F66*INDEX('W Assumptions'!$D$35:$F$35,1,D66)*INDEX('W Assumptions'!$D$22:$F$22,1,D66)</f>
        <v>15000</v>
      </c>
      <c r="O66" s="81" t="n">
        <f aca="false">L66*'W Site Costs'!$K$6</f>
        <v>0</v>
      </c>
      <c r="P66" s="81" t="n">
        <f aca="false">(SUM('W Site Costs'!$L$6:$Q$6)+INDEX('W Sites'!$F$65:$F$76,MONTH(C66),1)*'W Site Costs'!$W$6)*F66*(1+'W Sites'!$D$58)^(D66-1)*INDEX('W Assumptions'!$D$22:$F$22,1,D66)</f>
        <v>107000</v>
      </c>
      <c r="Q66" s="81" t="n">
        <f aca="false">('W Site Costs'!$X$6+INDEX('W Sites'!$F$65:$F$76,MONTH(C66),1)*'W Site Costs'!$Y$6)*F66*(1+'W Sites'!$D$58)^(D66-1)*INDEX('W Assumptions'!$D$17:$F$17,1,D66)</f>
        <v>25000</v>
      </c>
      <c r="R66" s="112" t="n">
        <f aca="false">L66*'W Sites'!$M$6</f>
        <v>0</v>
      </c>
      <c r="S66" s="81" t="n">
        <f aca="false">SUM(M66:R66)</f>
        <v>310000</v>
      </c>
      <c r="T66" s="81" t="n">
        <f aca="false">L66-S66</f>
        <v>221433.333333333</v>
      </c>
      <c r="U66" s="81" t="n">
        <f aca="false">IF(C66='W Budget &amp; Owners'!$I$6,'W Budget &amp; Owners'!$F$6*'W Sites'!$G$6,0)</f>
        <v>0</v>
      </c>
      <c r="V66" s="81" t="n">
        <f aca="false">'W Sites'!$G$6*'W Budget &amp; Owners'!$E$6*INDEX('W Assumptions'!$D$27:$F$27,1,D66)*(IF(C66='W Budget &amp; Owners'!$I$6,'W Assumptions'!$D$65,0)+IF(C66=DATE(YEAR('W Sites'!$F$6),MONTH('W Sites'!$F$6),1),1-'W Assumptions'!$D$65,0))+'W Sites'!$G$6*'W Budget &amp; Owners'!$E$6*IF(C66=DATE(2027,9,1),'W Assumptions'!$D$67,IF(C66=DATE(2028,9,1),'W Assumptions'!$D$69,0))</f>
        <v>0</v>
      </c>
      <c r="W66" s="81" t="n">
        <f aca="false">IF(((YEAR(C66)-YEAR('W Sites'!$F$6))*12+MONTH(C66)-MONTH('W Sites'!$F$6))&lt;'W Budget &amp; Owners'!$H$6,'W Budget &amp; Owners'!$E$6/'W Budget &amp; Owners'!$H$6*F66,0)+IF(C66&gt;=DATE(2027,9,1),'W Budget &amp; Owners'!$E$6*'W Assumptions'!$D$67/'W Budget &amp; Owners'!$H$6*F66,0)+IF(C66&gt;=DATE(2028,9,1),'W Budget &amp; Owners'!$E$6*'W Assumptions'!$D$69/'W Budget &amp; Owners'!$H$6*F66,0)</f>
        <v>5833.33333333333</v>
      </c>
      <c r="X66" s="81" t="n">
        <f aca="false">IF(C66='W Budget &amp; Owners'!$I$6,'W Budget &amp; Owners'!$G$6*'W Sites'!$G$6,0)</f>
        <v>0</v>
      </c>
      <c r="Y66" s="112" t="n">
        <f aca="false">IF(SUM($G$66:$G$75)=0,0,'W Fees &amp; KPI'!$Q$12*G66/SUM($G$66:$G$75))</f>
        <v>3407.54746376812</v>
      </c>
      <c r="Z66" s="119" t="n">
        <f aca="false">IF(SUM($G$66:$G$75)=0,0,SUM('W Fees &amp; KPI'!$J$12,'W Fees &amp; KPI'!$M$12)*G66/SUM($G$66:$G$75))</f>
        <v>4086.25</v>
      </c>
      <c r="AA66" s="117" t="n">
        <f aca="false">T66-U66-Z66-Y66</f>
        <v>213939.535869565</v>
      </c>
      <c r="AB66" s="119" t="n">
        <f aca="false">IF('W Fees &amp; KPI'!$D$12=0,0,T66-U66-Z66)</f>
        <v>217347.083333333</v>
      </c>
    </row>
    <row r="67" customFormat="false" ht="21" hidden="false" customHeight="true" outlineLevel="0" collapsed="false">
      <c r="C67" s="144" t="n">
        <f aca="false">46447</f>
        <v>46447</v>
      </c>
      <c r="D67" s="81" t="n">
        <f aca="false">1</f>
        <v>1</v>
      </c>
      <c r="E67" s="81" t="str">
        <f aca="false">'W Sites'!C7</f>
        <v>S02</v>
      </c>
      <c r="F67" s="145" t="n">
        <f aca="false">'W Sites'!$G$7*MAX(0,EOMONTH(C67,0)-MAX(C67,'W Sites'!$F$7)+1)/DAY(EOMONTH(C67,0))</f>
        <v>1</v>
      </c>
      <c r="G67" s="145" t="n">
        <f aca="false">'W Sites'!$G$7*MAX(0,EOMONTH(C67,0)-MAX(C67,'W Sites'!$F$7,'W Assumptions'!$D$58)+1)/DAY(EOMONTH(C67,0))</f>
        <v>1</v>
      </c>
      <c r="H67" s="81" t="n">
        <f aca="false">'W Sites'!$H$7*F67*'W Sites'!$I$7*IF(((YEAR(C67)-YEAR('W Sites'!$F$7))*12+MONTH(C67)-MONTH('W Sites'!$F$7))=0,'W Assumptions'!$D$62,IF(((YEAR(C67)-YEAR('W Sites'!$F$7))*12+MONTH(C67)-MONTH('W Sites'!$F$7))=1,'W Assumptions'!$D$63,1))*INDEX('W Assumptions'!$D$7:$F$7,1,D67)*INDEX('W Assumptions'!$D$32:$F$32,1,D67)*INDEX('W Assumptions'!$D$80:$D$91,MONTH(C67),1)/AVERAGE('W Assumptions'!$D$80:$D$91)</f>
        <v>2310</v>
      </c>
      <c r="I67" s="81" t="n">
        <f aca="false">H67*'W Sites'!$J$7/(1+'W Assumptions'!$D$39)*INDEX('W Assumptions'!$D$12:$F$12,1,D67)*INDEX('W Assumptions'!$D$33:$F$33,1,D67)</f>
        <v>70304.347826087</v>
      </c>
      <c r="J67" s="81" t="n">
        <f aca="false">H67*'W Sites'!$K$7/(1+'W Assumptions'!$D$39)*INDEX('W Assumptions'!$D$12:$F$12,1,D67)*INDEX('W Assumptions'!$D$33:$F$33,1,D67)</f>
        <v>6026.08695652174</v>
      </c>
      <c r="K67" s="81" t="n">
        <f aca="false">'W Sites'!$L$7*F67*IF(((YEAR(C67)-YEAR('W Sites'!$F$7))*12+MONTH(C67)-MONTH('W Sites'!$F$7))=0,'W Assumptions'!$D$62,IF(((YEAR(C67)-YEAR('W Sites'!$F$7))*12+MONTH(C67)-MONTH('W Sites'!$F$7))=1,'W Assumptions'!$D$63,1))*INDEX('W Assumptions'!$D$7:$F$7,1,D67)*INDEX('W Assumptions'!$D$32:$F$32,1,D67)</f>
        <v>5000</v>
      </c>
      <c r="L67" s="81" t="n">
        <f aca="false">SUM(I67:K67)</f>
        <v>81330.4347826087</v>
      </c>
      <c r="M67" s="81" t="n">
        <f aca="false">'W Site Costs'!$I$7*F67*INDEX('W Assumptions'!$D$34:$F$34,1,D67)*INDEX('W Assumptions'!$D$22:$F$22,1,D67)</f>
        <v>32450</v>
      </c>
      <c r="N67" s="81" t="n">
        <f aca="false">'W Site Costs'!$J$7*F67*INDEX('W Assumptions'!$D$35:$F$35,1,D67)*INDEX('W Assumptions'!$D$22:$F$22,1,D67)</f>
        <v>0</v>
      </c>
      <c r="O67" s="81" t="n">
        <f aca="false">L67*'W Site Costs'!$K$7</f>
        <v>12199.5652173913</v>
      </c>
      <c r="P67" s="81" t="n">
        <f aca="false">SUM('W Site Costs'!$L$7:$Q$7)*F67*INDEX('W Assumptions'!$D$35:$F$35,1,D67)*INDEX('W Assumptions'!$D$22:$F$22,1,D67)</f>
        <v>11700</v>
      </c>
      <c r="Q67" s="81" t="n">
        <f aca="false">L67*'W Site Costs'!$R$7*INDEX('W Assumptions'!$D$17:$F$17,1,D67)</f>
        <v>4879.82608695652</v>
      </c>
      <c r="R67" s="112" t="n">
        <f aca="false">L67*'W Sites'!$M$7</f>
        <v>0</v>
      </c>
      <c r="S67" s="81" t="n">
        <f aca="false">SUM(M67:R67)</f>
        <v>61229.3913043478</v>
      </c>
      <c r="T67" s="81" t="n">
        <f aca="false">L67-S67</f>
        <v>20101.0434782609</v>
      </c>
      <c r="U67" s="81" t="n">
        <f aca="false">IF(C67='W Budget &amp; Owners'!$I$7,'W Budget &amp; Owners'!$F$7*'W Sites'!$G$7,0)</f>
        <v>0</v>
      </c>
      <c r="V67" s="81" t="n">
        <f aca="false">'W Sites'!$G$7*'W Budget &amp; Owners'!$E$7*INDEX('W Assumptions'!$D$27:$F$27,1,D67)*(IF(C67='W Budget &amp; Owners'!$I$7,'W Assumptions'!$D$65,0)+IF(C67=DATE(YEAR('W Sites'!$F$7),MONTH('W Sites'!$F$7),1),1-'W Assumptions'!$D$65,0))+'W Sites'!$G$7*'W Budget &amp; Owners'!$E$7*IF(C67=DATE(2027,9,1),'W Assumptions'!$D$67,IF(C67=DATE(2028,9,1),'W Assumptions'!$D$69,0))</f>
        <v>0</v>
      </c>
      <c r="W67" s="81" t="n">
        <f aca="false">IF(((YEAR(C67)-YEAR('W Sites'!$F$7))*12+MONTH(C67)-MONTH('W Sites'!$F$7))&lt;'W Budget &amp; Owners'!$H$7,'W Budget &amp; Owners'!$E$7/'W Budget &amp; Owners'!$H$7*F67,0)+IF(C67&gt;=DATE(2027,9,1),'W Budget &amp; Owners'!$E$7*'W Assumptions'!$D$67/'W Budget &amp; Owners'!$H$7*F67,0)+IF(C67&gt;=DATE(2028,9,1),'W Budget &amp; Owners'!$E$7*'W Assumptions'!$D$69/'W Budget &amp; Owners'!$H$7*F67,0)</f>
        <v>1333.33333333333</v>
      </c>
      <c r="X67" s="81" t="n">
        <f aca="false">IF(C67='W Budget &amp; Owners'!$I$7,'W Budget &amp; Owners'!$G$7*'W Sites'!$G$7,0)</f>
        <v>0</v>
      </c>
      <c r="Y67" s="112" t="n">
        <f aca="false">IF(SUM($G$66:$G$75)=0,0,'W Fees &amp; KPI'!$Q$12*G67/SUM($G$66:$G$75))</f>
        <v>3407.54746376812</v>
      </c>
      <c r="Z67" s="119" t="n">
        <f aca="false">IF(SUM($G$66:$G$75)=0,0,SUM('W Fees &amp; KPI'!$J$12,'W Fees &amp; KPI'!$M$12)*G67/SUM($G$66:$G$75))</f>
        <v>4086.25</v>
      </c>
      <c r="AA67" s="117" t="n">
        <f aca="false">T67-U67-Z67-Y67</f>
        <v>12607.2460144928</v>
      </c>
      <c r="AB67" s="119" t="n">
        <f aca="false">IF('W Fees &amp; KPI'!$D$12=0,0,T67-U67-Z67)</f>
        <v>16014.7934782609</v>
      </c>
    </row>
    <row r="68" customFormat="false" ht="21" hidden="false" customHeight="true" outlineLevel="0" collapsed="false">
      <c r="C68" s="144" t="n">
        <f aca="false">46447</f>
        <v>46447</v>
      </c>
      <c r="D68" s="81" t="n">
        <f aca="false">1</f>
        <v>1</v>
      </c>
      <c r="E68" s="81" t="str">
        <f aca="false">'W Sites'!C8</f>
        <v>S03</v>
      </c>
      <c r="F68" s="145" t="n">
        <f aca="false">'W Sites'!$G$8*MAX(0,EOMONTH(C68,0)-MAX(C68,'W Sites'!$F$8)+1)/DAY(EOMONTH(C68,0))</f>
        <v>1</v>
      </c>
      <c r="G68" s="145" t="n">
        <f aca="false">'W Sites'!$G$8*MAX(0,EOMONTH(C68,0)-MAX(C68,'W Sites'!$F$8,'W Assumptions'!$D$58)+1)/DAY(EOMONTH(C68,0))</f>
        <v>1</v>
      </c>
      <c r="H68" s="81" t="n">
        <f aca="false">'W Sites'!$H$8*F68*'W Sites'!$I$8*IF(((YEAR(C68)-YEAR('W Sites'!$F$8))*12+MONTH(C68)-MONTH('W Sites'!$F$8))=0,'W Assumptions'!$D$62,IF(((YEAR(C68)-YEAR('W Sites'!$F$8))*12+MONTH(C68)-MONTH('W Sites'!$F$8))=1,'W Assumptions'!$D$63,1))*INDEX('W Assumptions'!$D$7:$F$7,1,D68)*INDEX('W Assumptions'!$D$32:$F$32,1,D68)*INDEX('W Assumptions'!$D$80:$D$91,MONTH(C68),1)/AVERAGE('W Assumptions'!$D$80:$D$91)</f>
        <v>3119.17808219178</v>
      </c>
      <c r="I68" s="81" t="n">
        <f aca="false">H68*'W Sites'!$J$8/(1+'W Assumptions'!$D$39)*INDEX('W Assumptions'!$D$12:$F$12,1,D68)*INDEX('W Assumptions'!$D$33:$F$33,1,D68)</f>
        <v>176301.369863014</v>
      </c>
      <c r="J68" s="81" t="n">
        <f aca="false">H68*'W Sites'!$K$8/(1+'W Assumptions'!$D$39)*INDEX('W Assumptions'!$D$12:$F$12,1,D68)*INDEX('W Assumptions'!$D$33:$F$33,1,D68)</f>
        <v>21698.6301369863</v>
      </c>
      <c r="K68" s="81" t="n">
        <f aca="false">'W Sites'!$L$8*F68*IF(((YEAR(C68)-YEAR('W Sites'!$F$8))*12+MONTH(C68)-MONTH('W Sites'!$F$8))=0,'W Assumptions'!$D$62,IF(((YEAR(C68)-YEAR('W Sites'!$F$8))*12+MONTH(C68)-MONTH('W Sites'!$F$8))=1,'W Assumptions'!$D$63,1))*INDEX('W Assumptions'!$D$7:$F$7,1,D68)*INDEX('W Assumptions'!$D$32:$F$32,1,D68)</f>
        <v>20000</v>
      </c>
      <c r="L68" s="81" t="n">
        <f aca="false">SUM(I68:K68)</f>
        <v>218000</v>
      </c>
      <c r="M68" s="81" t="n">
        <f aca="false">'W Site Costs'!$I$8*F68*INDEX('W Assumptions'!$D$34:$F$34,1,D68)*INDEX('W Assumptions'!$D$22:$F$22,1,D68)</f>
        <v>48026</v>
      </c>
      <c r="N68" s="81" t="n">
        <f aca="false">'W Site Costs'!$J$8*F68*INDEX('W Assumptions'!$D$35:$F$35,1,D68)*INDEX('W Assumptions'!$D$22:$F$22,1,D68)</f>
        <v>35000</v>
      </c>
      <c r="O68" s="81" t="n">
        <f aca="false">L68*'W Site Costs'!$K$8</f>
        <v>0</v>
      </c>
      <c r="P68" s="81" t="n">
        <f aca="false">SUM('W Site Costs'!$L$8:$Q$8)*F68*INDEX('W Assumptions'!$D$35:$F$35,1,D68)*INDEX('W Assumptions'!$D$22:$F$22,1,D68)</f>
        <v>19500</v>
      </c>
      <c r="Q68" s="81" t="n">
        <f aca="false">L68*'W Site Costs'!$R$8*INDEX('W Assumptions'!$D$17:$F$17,1,D68)</f>
        <v>17440</v>
      </c>
      <c r="R68" s="112" t="n">
        <f aca="false">L68*'W Sites'!$M$8</f>
        <v>0</v>
      </c>
      <c r="S68" s="81" t="n">
        <f aca="false">SUM(M68:R68)</f>
        <v>119966</v>
      </c>
      <c r="T68" s="81" t="n">
        <f aca="false">L68-S68</f>
        <v>98034.0000000001</v>
      </c>
      <c r="U68" s="81" t="n">
        <f aca="false">IF(C68='W Budget &amp; Owners'!$I$8,'W Budget &amp; Owners'!$F$8*'W Sites'!$G$8,0)</f>
        <v>0</v>
      </c>
      <c r="V68" s="81" t="n">
        <f aca="false">'W Sites'!$G$8*'W Budget &amp; Owners'!$E$8*INDEX('W Assumptions'!$D$27:$F$27,1,D68)*(IF(C68='W Budget &amp; Owners'!$I$8,'W Assumptions'!$D$65,0)+IF(C68=DATE(YEAR('W Sites'!$F$8),MONTH('W Sites'!$F$8),1),1-'W Assumptions'!$D$65,0))+'W Sites'!$G$8*'W Budget &amp; Owners'!$E$8*IF(C68=DATE(2027,9,1),'W Assumptions'!$D$67,IF(C68=DATE(2028,9,1),'W Assumptions'!$D$69,0))</f>
        <v>0</v>
      </c>
      <c r="W68" s="81" t="n">
        <f aca="false">IF(((YEAR(C68)-YEAR('W Sites'!$F$8))*12+MONTH(C68)-MONTH('W Sites'!$F$8))&lt;'W Budget &amp; Owners'!$H$8,'W Budget &amp; Owners'!$E$8/'W Budget &amp; Owners'!$H$8*F68,0)+IF(C68&gt;=DATE(2027,9,1),'W Budget &amp; Owners'!$E$8*'W Assumptions'!$D$67/'W Budget &amp; Owners'!$H$8*F68,0)+IF(C68&gt;=DATE(2028,9,1),'W Budget &amp; Owners'!$E$8*'W Assumptions'!$D$69/'W Budget &amp; Owners'!$H$8*F68,0)</f>
        <v>10000</v>
      </c>
      <c r="X68" s="81" t="n">
        <f aca="false">IF(C68='W Budget &amp; Owners'!$I$8,'W Budget &amp; Owners'!$G$8*'W Sites'!$G$8,0)</f>
        <v>0</v>
      </c>
      <c r="Y68" s="112" t="n">
        <f aca="false">IF(SUM($G$66:$G$75)=0,0,'W Fees &amp; KPI'!$Q$12*G68/SUM($G$66:$G$75))</f>
        <v>3407.54746376812</v>
      </c>
      <c r="Z68" s="119" t="n">
        <f aca="false">IF(SUM($G$66:$G$75)=0,0,SUM('W Fees &amp; KPI'!$J$12,'W Fees &amp; KPI'!$M$12)*G68/SUM($G$66:$G$75))</f>
        <v>4086.25</v>
      </c>
      <c r="AA68" s="117" t="n">
        <f aca="false">T68-U68-Z68-Y68</f>
        <v>90540.2025362319</v>
      </c>
      <c r="AB68" s="119" t="n">
        <f aca="false">IF('W Fees &amp; KPI'!$D$12=0,0,T68-U68-Z68)</f>
        <v>93947.7500000001</v>
      </c>
    </row>
    <row r="69" customFormat="false" ht="21" hidden="false" customHeight="true" outlineLevel="0" collapsed="false">
      <c r="C69" s="144" t="n">
        <f aca="false">46447</f>
        <v>46447</v>
      </c>
      <c r="D69" s="81" t="n">
        <f aca="false">1</f>
        <v>1</v>
      </c>
      <c r="E69" s="81" t="str">
        <f aca="false">'W Sites'!C9</f>
        <v>S04</v>
      </c>
      <c r="F69" s="145" t="n">
        <f aca="false">'W Sites'!$G$9*MAX(0,EOMONTH(C69,0)-MAX(C69,'W Sites'!$F$9)+1)/DAY(EOMONTH(C69,0))</f>
        <v>1</v>
      </c>
      <c r="G69" s="145" t="n">
        <f aca="false">'W Sites'!$G$9*MAX(0,EOMONTH(C69,0)-MAX(C69,'W Sites'!$F$9,'W Assumptions'!$D$58)+1)/DAY(EOMONTH(C69,0))</f>
        <v>1</v>
      </c>
      <c r="H69" s="81" t="n">
        <f aca="false">'W Sites'!$H$9*F69*'W Sites'!$I$9*IF(((YEAR(C69)-YEAR('W Sites'!$F$9))*12+MONTH(C69)-MONTH('W Sites'!$F$9))=0,'W Assumptions'!$D$62,IF(((YEAR(C69)-YEAR('W Sites'!$F$9))*12+MONTH(C69)-MONTH('W Sites'!$F$9))=1,'W Assumptions'!$D$63,1))*INDEX('W Assumptions'!$D$7:$F$7,1,D69)*INDEX('W Assumptions'!$D$32:$F$32,1,D69)*INDEX('W Assumptions'!$D$80:$D$91,MONTH(C69),1)/AVERAGE('W Assumptions'!$D$80:$D$91)</f>
        <v>2196.18055555556</v>
      </c>
      <c r="I69" s="81" t="n">
        <f aca="false">H69*'W Sites'!$J$9/(1+'W Assumptions'!$D$39)*INDEX('W Assumptions'!$D$12:$F$12,1,D69)*INDEX('W Assumptions'!$D$33:$F$33,1,D69)</f>
        <v>124131.944444444</v>
      </c>
      <c r="J69" s="81" t="n">
        <f aca="false">H69*'W Sites'!$K$9/(1+'W Assumptions'!$D$39)*INDEX('W Assumptions'!$D$12:$F$12,1,D69)*INDEX('W Assumptions'!$D$33:$F$33,1,D69)</f>
        <v>13368.0555555556</v>
      </c>
      <c r="K69" s="81" t="n">
        <f aca="false">'W Sites'!$L$9*F69*IF(((YEAR(C69)-YEAR('W Sites'!$F$9))*12+MONTH(C69)-MONTH('W Sites'!$F$9))=0,'W Assumptions'!$D$62,IF(((YEAR(C69)-YEAR('W Sites'!$F$9))*12+MONTH(C69)-MONTH('W Sites'!$F$9))=1,'W Assumptions'!$D$63,1))*INDEX('W Assumptions'!$D$7:$F$7,1,D69)*INDEX('W Assumptions'!$D$32:$F$32,1,D69)</f>
        <v>15000</v>
      </c>
      <c r="L69" s="81" t="n">
        <f aca="false">SUM(I69:K69)</f>
        <v>152500</v>
      </c>
      <c r="M69" s="81" t="n">
        <f aca="false">'W Site Costs'!$I$9*F69*INDEX('W Assumptions'!$D$34:$F$34,1,D69)*INDEX('W Assumptions'!$D$22:$F$22,1,D69)</f>
        <v>37760</v>
      </c>
      <c r="N69" s="81" t="n">
        <f aca="false">'W Site Costs'!$J$9*F69*INDEX('W Assumptions'!$D$35:$F$35,1,D69)*INDEX('W Assumptions'!$D$22:$F$22,1,D69)</f>
        <v>22000</v>
      </c>
      <c r="O69" s="81" t="n">
        <f aca="false">L69*'W Site Costs'!$K$9</f>
        <v>0</v>
      </c>
      <c r="P69" s="81" t="n">
        <f aca="false">SUM('W Site Costs'!$L$9:$Q$9)*F69*INDEX('W Assumptions'!$D$35:$F$35,1,D69)*INDEX('W Assumptions'!$D$22:$F$22,1,D69)</f>
        <v>15500</v>
      </c>
      <c r="Q69" s="81" t="n">
        <f aca="false">L69*'W Site Costs'!$R$9*INDEX('W Assumptions'!$D$17:$F$17,1,D69)</f>
        <v>12200</v>
      </c>
      <c r="R69" s="112" t="n">
        <f aca="false">L69*'W Sites'!$M$9</f>
        <v>0</v>
      </c>
      <c r="S69" s="81" t="n">
        <f aca="false">SUM(M69:R69)</f>
        <v>87460</v>
      </c>
      <c r="T69" s="81" t="n">
        <f aca="false">L69-S69</f>
        <v>65040</v>
      </c>
      <c r="U69" s="81" t="n">
        <f aca="false">IF(C69='W Budget &amp; Owners'!$I$9,'W Budget &amp; Owners'!$F$9*'W Sites'!$G$9,0)</f>
        <v>0</v>
      </c>
      <c r="V69" s="81" t="n">
        <f aca="false">'W Sites'!$G$9*'W Budget &amp; Owners'!$E$9*INDEX('W Assumptions'!$D$27:$F$27,1,D69)*(IF(C69='W Budget &amp; Owners'!$I$9,'W Assumptions'!$D$65,0)+IF(C69=DATE(YEAR('W Sites'!$F$9),MONTH('W Sites'!$F$9),1),1-'W Assumptions'!$D$65,0))+'W Sites'!$G$9*'W Budget &amp; Owners'!$E$9*IF(C69=DATE(2027,9,1),'W Assumptions'!$D$67,IF(C69=DATE(2028,9,1),'W Assumptions'!$D$69,0))</f>
        <v>0</v>
      </c>
      <c r="W69" s="81" t="n">
        <f aca="false">IF(((YEAR(C69)-YEAR('W Sites'!$F$9))*12+MONTH(C69)-MONTH('W Sites'!$F$9))&lt;'W Budget &amp; Owners'!$H$9,'W Budget &amp; Owners'!$E$9/'W Budget &amp; Owners'!$H$9*F69,0)+IF(C69&gt;=DATE(2027,9,1),'W Budget &amp; Owners'!$E$9*'W Assumptions'!$D$67/'W Budget &amp; Owners'!$H$9*F69,0)+IF(C69&gt;=DATE(2028,9,1),'W Budget &amp; Owners'!$E$9*'W Assumptions'!$D$69/'W Budget &amp; Owners'!$H$9*F69,0)</f>
        <v>8333.33333333333</v>
      </c>
      <c r="X69" s="81" t="n">
        <f aca="false">IF(C69='W Budget &amp; Owners'!$I$9,'W Budget &amp; Owners'!$G$9*'W Sites'!$G$9,0)</f>
        <v>0</v>
      </c>
      <c r="Y69" s="112" t="n">
        <f aca="false">IF(SUM($G$66:$G$75)=0,0,'W Fees &amp; KPI'!$Q$12*G69/SUM($G$66:$G$75))</f>
        <v>3407.54746376812</v>
      </c>
      <c r="Z69" s="119" t="n">
        <f aca="false">IF(SUM($G$66:$G$75)=0,0,SUM('W Fees &amp; KPI'!$J$12,'W Fees &amp; KPI'!$M$12)*G69/SUM($G$66:$G$75))</f>
        <v>4086.25</v>
      </c>
      <c r="AA69" s="117" t="n">
        <f aca="false">T69-U69-Z69-Y69</f>
        <v>57546.2025362319</v>
      </c>
      <c r="AB69" s="119" t="n">
        <f aca="false">IF('W Fees &amp; KPI'!$D$12=0,0,T69-U69-Z69)</f>
        <v>60953.75</v>
      </c>
    </row>
    <row r="70" customFormat="false" ht="21" hidden="false" customHeight="true" outlineLevel="0" collapsed="false">
      <c r="C70" s="144" t="n">
        <f aca="false">46447</f>
        <v>46447</v>
      </c>
      <c r="D70" s="81" t="n">
        <f aca="false">1</f>
        <v>1</v>
      </c>
      <c r="E70" s="81" t="str">
        <f aca="false">'W Sites'!C10</f>
        <v>S05</v>
      </c>
      <c r="F70" s="145" t="n">
        <f aca="false">'W Sites'!$G$10*MAX(0,EOMONTH(C70,0)-MAX(C70,'W Sites'!$F$10)+1)/DAY(EOMONTH(C70,0))</f>
        <v>1</v>
      </c>
      <c r="G70" s="145" t="n">
        <f aca="false">'W Sites'!$G$10*MAX(0,EOMONTH(C70,0)-MAX(C70,'W Sites'!$F$10,'W Assumptions'!$D$58)+1)/DAY(EOMONTH(C70,0))</f>
        <v>1</v>
      </c>
      <c r="H70" s="81" t="n">
        <f aca="false">'W Sites'!$H$10*F70*'W Sites'!$I$10*IF(((YEAR(C70)-YEAR('W Sites'!$F$10))*12+MONTH(C70)-MONTH('W Sites'!$F$10))=0,'W Assumptions'!$D$62,IF(((YEAR(C70)-YEAR('W Sites'!$F$10))*12+MONTH(C70)-MONTH('W Sites'!$F$10))=1,'W Assumptions'!$D$63,1))*INDEX('W Assumptions'!$D$7:$F$7,1,D70)*INDEX('W Assumptions'!$D$32:$F$32,1,D70)*INDEX('W Assumptions'!$D$80:$D$91,MONTH(C70),1)/AVERAGE('W Assumptions'!$D$80:$D$91)</f>
        <v>2807.2602739726</v>
      </c>
      <c r="I70" s="81" t="n">
        <f aca="false">H70*'W Sites'!$J$10/(1+'W Assumptions'!$D$39)*INDEX('W Assumptions'!$D$12:$F$12,1,D70)*INDEX('W Assumptions'!$D$33:$F$33,1,D70)</f>
        <v>158671.232876712</v>
      </c>
      <c r="J70" s="81" t="n">
        <f aca="false">H70*'W Sites'!$K$10/(1+'W Assumptions'!$D$39)*INDEX('W Assumptions'!$D$12:$F$12,1,D70)*INDEX('W Assumptions'!$D$33:$F$33,1,D70)</f>
        <v>19528.7671232877</v>
      </c>
      <c r="K70" s="81" t="n">
        <f aca="false">'W Sites'!$L$10*F70*IF(((YEAR(C70)-YEAR('W Sites'!$F$10))*12+MONTH(C70)-MONTH('W Sites'!$F$10))=0,'W Assumptions'!$D$62,IF(((YEAR(C70)-YEAR('W Sites'!$F$10))*12+MONTH(C70)-MONTH('W Sites'!$F$10))=1,'W Assumptions'!$D$63,1))*INDEX('W Assumptions'!$D$7:$F$7,1,D70)*INDEX('W Assumptions'!$D$32:$F$32,1,D70)</f>
        <v>18000</v>
      </c>
      <c r="L70" s="81" t="n">
        <f aca="false">SUM(I70:K70)</f>
        <v>196200</v>
      </c>
      <c r="M70" s="81" t="n">
        <f aca="false">'W Site Costs'!$I$10*F70*INDEX('W Assumptions'!$D$34:$F$34,1,D70)*INDEX('W Assumptions'!$D$22:$F$22,1,D70)</f>
        <v>48026</v>
      </c>
      <c r="N70" s="81" t="n">
        <f aca="false">'W Site Costs'!$J$10*F70*INDEX('W Assumptions'!$D$35:$F$35,1,D70)*INDEX('W Assumptions'!$D$22:$F$22,1,D70)</f>
        <v>30000</v>
      </c>
      <c r="O70" s="81" t="n">
        <f aca="false">L70*'W Site Costs'!$K$10</f>
        <v>0</v>
      </c>
      <c r="P70" s="81" t="n">
        <f aca="false">SUM('W Site Costs'!$L$10:$Q$10)*F70*INDEX('W Assumptions'!$D$35:$F$35,1,D70)*INDEX('W Assumptions'!$D$22:$F$22,1,D70)</f>
        <v>19000</v>
      </c>
      <c r="Q70" s="81" t="n">
        <f aca="false">L70*'W Site Costs'!$R$10*INDEX('W Assumptions'!$D$17:$F$17,1,D70)</f>
        <v>15696</v>
      </c>
      <c r="R70" s="112" t="n">
        <f aca="false">L70*'W Sites'!$M$10</f>
        <v>0</v>
      </c>
      <c r="S70" s="81" t="n">
        <f aca="false">SUM(M70:R70)</f>
        <v>112722</v>
      </c>
      <c r="T70" s="81" t="n">
        <f aca="false">L70-S70</f>
        <v>83478.0000000001</v>
      </c>
      <c r="U70" s="81" t="n">
        <f aca="false">IF(C70='W Budget &amp; Owners'!$I$10,'W Budget &amp; Owners'!$F$10*'W Sites'!$G$10,0)</f>
        <v>0</v>
      </c>
      <c r="V70" s="81" t="n">
        <f aca="false">'W Sites'!$G$10*'W Budget &amp; Owners'!$E$10*INDEX('W Assumptions'!$D$27:$F$27,1,D70)*(IF(C70='W Budget &amp; Owners'!$I$10,'W Assumptions'!$D$65,0)+IF(C70=DATE(YEAR('W Sites'!$F$10),MONTH('W Sites'!$F$10),1),1-'W Assumptions'!$D$65,0))+'W Sites'!$G$10*'W Budget &amp; Owners'!$E$10*IF(C70=DATE(2027,9,1),'W Assumptions'!$D$67,IF(C70=DATE(2028,9,1),'W Assumptions'!$D$69,0))</f>
        <v>0</v>
      </c>
      <c r="W70" s="81" t="n">
        <f aca="false">IF(((YEAR(C70)-YEAR('W Sites'!$F$10))*12+MONTH(C70)-MONTH('W Sites'!$F$10))&lt;'W Budget &amp; Owners'!$H$10,'W Budget &amp; Owners'!$E$10/'W Budget &amp; Owners'!$H$10*F70,0)+IF(C70&gt;=DATE(2027,9,1),'W Budget &amp; Owners'!$E$10*'W Assumptions'!$D$67/'W Budget &amp; Owners'!$H$10*F70,0)+IF(C70&gt;=DATE(2028,9,1),'W Budget &amp; Owners'!$E$10*'W Assumptions'!$D$69/'W Budget &amp; Owners'!$H$10*F70,0)</f>
        <v>12500</v>
      </c>
      <c r="X70" s="81" t="n">
        <f aca="false">IF(C70='W Budget &amp; Owners'!$I$10,'W Budget &amp; Owners'!$G$10*'W Sites'!$G$10,0)</f>
        <v>0</v>
      </c>
      <c r="Y70" s="112" t="n">
        <f aca="false">IF(SUM($G$66:$G$75)=0,0,'W Fees &amp; KPI'!$Q$12*G70/SUM($G$66:$G$75))</f>
        <v>3407.54746376812</v>
      </c>
      <c r="Z70" s="119" t="n">
        <f aca="false">IF(SUM($G$66:$G$75)=0,0,SUM('W Fees &amp; KPI'!$J$12,'W Fees &amp; KPI'!$M$12)*G70/SUM($G$66:$G$75))</f>
        <v>4086.25</v>
      </c>
      <c r="AA70" s="117" t="n">
        <f aca="false">T70-U70-Z70-Y70</f>
        <v>75984.2025362319</v>
      </c>
      <c r="AB70" s="119" t="n">
        <f aca="false">IF('W Fees &amp; KPI'!$D$12=0,0,T70-U70-Z70)</f>
        <v>79391.7500000001</v>
      </c>
    </row>
    <row r="71" customFormat="false" ht="21" hidden="false" customHeight="true" outlineLevel="0" collapsed="false">
      <c r="C71" s="144" t="n">
        <f aca="false">46447</f>
        <v>46447</v>
      </c>
      <c r="D71" s="81" t="n">
        <f aca="false">1</f>
        <v>1</v>
      </c>
      <c r="E71" s="81" t="str">
        <f aca="false">'W Sites'!C11</f>
        <v>S06</v>
      </c>
      <c r="F71" s="145" t="n">
        <f aca="false">'W Sites'!$G$11*MAX(0,EOMONTH(C71,0)-MAX(C71,'W Sites'!$F$11)+1)/DAY(EOMONTH(C71,0))</f>
        <v>1</v>
      </c>
      <c r="G71" s="145" t="n">
        <f aca="false">'W Sites'!$G$11*MAX(0,EOMONTH(C71,0)-MAX(C71,'W Sites'!$F$11,'W Assumptions'!$D$58)+1)/DAY(EOMONTH(C71,0))</f>
        <v>1</v>
      </c>
      <c r="H71" s="81" t="n">
        <f aca="false">'W Sites'!$H$11*F71*'W Sites'!$I$11*IF(((YEAR(C71)-YEAR('W Sites'!$F$11))*12+MONTH(C71)-MONTH('W Sites'!$F$11))=0,'W Assumptions'!$D$62,IF(((YEAR(C71)-YEAR('W Sites'!$F$11))*12+MONTH(C71)-MONTH('W Sites'!$F$11))=1,'W Assumptions'!$D$63,1))*INDEX('W Assumptions'!$D$7:$F$7,1,D71)*INDEX('W Assumptions'!$D$32:$F$32,1,D71)*INDEX('W Assumptions'!$D$80:$D$91,MONTH(C71),1)/AVERAGE('W Assumptions'!$D$80:$D$91)</f>
        <v>858</v>
      </c>
      <c r="I71" s="81" t="n">
        <f aca="false">H71*'W Sites'!$J$11/(1+'W Assumptions'!$D$39)*INDEX('W Assumptions'!$D$12:$F$12,1,D71)*INDEX('W Assumptions'!$D$33:$F$33,1,D71)</f>
        <v>44765.2173913044</v>
      </c>
      <c r="J71" s="81" t="n">
        <f aca="false">H71*'W Sites'!$K$11/(1+'W Assumptions'!$D$39)*INDEX('W Assumptions'!$D$12:$F$12,1,D71)*INDEX('W Assumptions'!$D$33:$F$33,1,D71)</f>
        <v>2238.26086956522</v>
      </c>
      <c r="K71" s="81" t="n">
        <f aca="false">'W Sites'!$L$11*F71*IF(((YEAR(C71)-YEAR('W Sites'!$F$11))*12+MONTH(C71)-MONTH('W Sites'!$F$11))=0,'W Assumptions'!$D$62,IF(((YEAR(C71)-YEAR('W Sites'!$F$11))*12+MONTH(C71)-MONTH('W Sites'!$F$11))=1,'W Assumptions'!$D$63,1))*INDEX('W Assumptions'!$D$7:$F$7,1,D71)*INDEX('W Assumptions'!$D$32:$F$32,1,D71)</f>
        <v>20000</v>
      </c>
      <c r="L71" s="81" t="n">
        <f aca="false">SUM(I71:K71)</f>
        <v>67003.4782608696</v>
      </c>
      <c r="M71" s="81" t="n">
        <f aca="false">'W Site Costs'!$I$11*F71*INDEX('W Assumptions'!$D$34:$F$34,1,D71)*INDEX('W Assumptions'!$D$22:$F$22,1,D71)</f>
        <v>23836</v>
      </c>
      <c r="N71" s="81" t="n">
        <f aca="false">'W Site Costs'!$J$11*F71*INDEX('W Assumptions'!$D$35:$F$35,1,D71)*INDEX('W Assumptions'!$D$22:$F$22,1,D71)</f>
        <v>5000</v>
      </c>
      <c r="O71" s="81" t="n">
        <f aca="false">L71*'W Site Costs'!$K$11</f>
        <v>0</v>
      </c>
      <c r="P71" s="81" t="n">
        <f aca="false">SUM('W Site Costs'!$L$11:$Q$11)*F71*INDEX('W Assumptions'!$D$35:$F$35,1,D71)*INDEX('W Assumptions'!$D$22:$F$22,1,D71)</f>
        <v>8000</v>
      </c>
      <c r="Q71" s="81" t="n">
        <f aca="false">L71*'W Site Costs'!$R$11*INDEX('W Assumptions'!$D$17:$F$17,1,D71)</f>
        <v>6700.34782608696</v>
      </c>
      <c r="R71" s="112" t="n">
        <f aca="false">L71*'W Sites'!$M$11</f>
        <v>0</v>
      </c>
      <c r="S71" s="81" t="n">
        <f aca="false">SUM(M71:R71)</f>
        <v>43536.347826087</v>
      </c>
      <c r="T71" s="81" t="n">
        <f aca="false">L71-S71</f>
        <v>23467.1304347826</v>
      </c>
      <c r="U71" s="81" t="n">
        <f aca="false">IF(C71='W Budget &amp; Owners'!$I$11,'W Budget &amp; Owners'!$F$11*'W Sites'!$G$11,0)</f>
        <v>0</v>
      </c>
      <c r="V71" s="81" t="n">
        <f aca="false">'W Sites'!$G$11*'W Budget &amp; Owners'!$E$11*INDEX('W Assumptions'!$D$27:$F$27,1,D71)*(IF(C71='W Budget &amp; Owners'!$I$11,'W Assumptions'!$D$65,0)+IF(C71=DATE(YEAR('W Sites'!$F$11),MONTH('W Sites'!$F$11),1),1-'W Assumptions'!$D$65,0))+'W Sites'!$G$11*'W Budget &amp; Owners'!$E$11*IF(C71=DATE(2027,9,1),'W Assumptions'!$D$67,IF(C71=DATE(2028,9,1),'W Assumptions'!$D$69,0))</f>
        <v>0</v>
      </c>
      <c r="W71" s="81" t="n">
        <f aca="false">IF(((YEAR(C71)-YEAR('W Sites'!$F$11))*12+MONTH(C71)-MONTH('W Sites'!$F$11))&lt;'W Budget &amp; Owners'!$H$11,'W Budget &amp; Owners'!$E$11/'W Budget &amp; Owners'!$H$11*F71,0)+IF(C71&gt;=DATE(2027,9,1),'W Budget &amp; Owners'!$E$11*'W Assumptions'!$D$67/'W Budget &amp; Owners'!$H$11*F71,0)+IF(C71&gt;=DATE(2028,9,1),'W Budget &amp; Owners'!$E$11*'W Assumptions'!$D$69/'W Budget &amp; Owners'!$H$11*F71,0)</f>
        <v>2500</v>
      </c>
      <c r="X71" s="81" t="n">
        <f aca="false">IF(C71='W Budget &amp; Owners'!$I$11,'W Budget &amp; Owners'!$G$11*'W Sites'!$G$11,0)</f>
        <v>0</v>
      </c>
      <c r="Y71" s="112" t="n">
        <f aca="false">IF(SUM($G$66:$G$75)=0,0,'W Fees &amp; KPI'!$Q$12*G71/SUM($G$66:$G$75))</f>
        <v>3407.54746376812</v>
      </c>
      <c r="Z71" s="119" t="n">
        <f aca="false">IF(SUM($G$66:$G$75)=0,0,SUM('W Fees &amp; KPI'!$J$12,'W Fees &amp; KPI'!$M$12)*G71/SUM($G$66:$G$75))</f>
        <v>4086.25</v>
      </c>
      <c r="AA71" s="117" t="n">
        <f aca="false">T71-U71-Z71-Y71</f>
        <v>15973.3329710145</v>
      </c>
      <c r="AB71" s="119" t="n">
        <f aca="false">IF('W Fees &amp; KPI'!$D$12=0,0,T71-U71-Z71)</f>
        <v>19380.8804347826</v>
      </c>
    </row>
    <row r="72" customFormat="false" ht="21" hidden="false" customHeight="true" outlineLevel="0" collapsed="false">
      <c r="C72" s="144" t="n">
        <f aca="false">46447</f>
        <v>46447</v>
      </c>
      <c r="D72" s="81" t="n">
        <f aca="false">1</f>
        <v>1</v>
      </c>
      <c r="E72" s="81" t="str">
        <f aca="false">'W Sites'!C12</f>
        <v>S07</v>
      </c>
      <c r="F72" s="145" t="n">
        <f aca="false">'W Sites'!$G$12*MAX(0,EOMONTH(C72,0)-MAX(C72,'W Sites'!$F$12)+1)/DAY(EOMONTH(C72,0))</f>
        <v>1</v>
      </c>
      <c r="G72" s="145" t="n">
        <f aca="false">'W Sites'!$G$12*MAX(0,EOMONTH(C72,0)-MAX(C72,'W Sites'!$F$12,'W Assumptions'!$D$58)+1)/DAY(EOMONTH(C72,0))</f>
        <v>1</v>
      </c>
      <c r="H72" s="81" t="n">
        <f aca="false">'W Sites'!$H$12*F72*'W Sites'!$I$12*IF(((YEAR(C72)-YEAR('W Sites'!$F$12))*12+MONTH(C72)-MONTH('W Sites'!$F$12))=0,'W Assumptions'!$D$62,IF(((YEAR(C72)-YEAR('W Sites'!$F$12))*12+MONTH(C72)-MONTH('W Sites'!$F$12))=1,'W Assumptions'!$D$63,1))*INDEX('W Assumptions'!$D$7:$F$7,1,D72)*INDEX('W Assumptions'!$D$32:$F$32,1,D72)*INDEX('W Assumptions'!$D$80:$D$91,MONTH(C72),1)/AVERAGE('W Assumptions'!$D$80:$D$91)</f>
        <v>1001</v>
      </c>
      <c r="I72" s="81" t="n">
        <f aca="false">H72*'W Sites'!$J$12/(1+'W Assumptions'!$D$39)*INDEX('W Assumptions'!$D$12:$F$12,1,D72)*INDEX('W Assumptions'!$D$33:$F$33,1,D72)</f>
        <v>52226.0869565218</v>
      </c>
      <c r="J72" s="81" t="n">
        <f aca="false">H72*'W Sites'!$K$12/(1+'W Assumptions'!$D$39)*INDEX('W Assumptions'!$D$12:$F$12,1,D72)*INDEX('W Assumptions'!$D$33:$F$33,1,D72)</f>
        <v>2611.30434782609</v>
      </c>
      <c r="K72" s="81" t="n">
        <f aca="false">'W Sites'!$L$12*F72*IF(((YEAR(C72)-YEAR('W Sites'!$F$12))*12+MONTH(C72)-MONTH('W Sites'!$F$12))=0,'W Assumptions'!$D$62,IF(((YEAR(C72)-YEAR('W Sites'!$F$12))*12+MONTH(C72)-MONTH('W Sites'!$F$12))=1,'W Assumptions'!$D$63,1))*INDEX('W Assumptions'!$D$7:$F$7,1,D72)*INDEX('W Assumptions'!$D$32:$F$32,1,D72)</f>
        <v>18000</v>
      </c>
      <c r="L72" s="81" t="n">
        <f aca="false">SUM(I72:K72)</f>
        <v>72837.3913043478</v>
      </c>
      <c r="M72" s="81" t="n">
        <f aca="false">'W Site Costs'!$I$12*F72*INDEX('W Assumptions'!$D$34:$F$34,1,D72)*INDEX('W Assumptions'!$D$22:$F$22,1,D72)</f>
        <v>23836</v>
      </c>
      <c r="N72" s="81" t="n">
        <f aca="false">'W Site Costs'!$J$12*F72*INDEX('W Assumptions'!$D$35:$F$35,1,D72)*INDEX('W Assumptions'!$D$22:$F$22,1,D72)</f>
        <v>8000</v>
      </c>
      <c r="O72" s="81" t="n">
        <f aca="false">L72*'W Site Costs'!$K$12</f>
        <v>0</v>
      </c>
      <c r="P72" s="81" t="n">
        <f aca="false">SUM('W Site Costs'!$L$12:$Q$12)*F72*INDEX('W Assumptions'!$D$35:$F$35,1,D72)*INDEX('W Assumptions'!$D$22:$F$22,1,D72)</f>
        <v>8500</v>
      </c>
      <c r="Q72" s="81" t="n">
        <f aca="false">L72*'W Site Costs'!$R$12*INDEX('W Assumptions'!$D$17:$F$17,1,D72)</f>
        <v>7283.73913043478</v>
      </c>
      <c r="R72" s="112" t="n">
        <f aca="false">L72*'W Sites'!$M$12</f>
        <v>0</v>
      </c>
      <c r="S72" s="81" t="n">
        <f aca="false">SUM(M72:R72)</f>
        <v>47619.7391304348</v>
      </c>
      <c r="T72" s="81" t="n">
        <f aca="false">L72-S72</f>
        <v>25217.6521739131</v>
      </c>
      <c r="U72" s="81" t="n">
        <f aca="false">IF(C72='W Budget &amp; Owners'!$I$12,'W Budget &amp; Owners'!$F$12*'W Sites'!$G$12,0)</f>
        <v>0</v>
      </c>
      <c r="V72" s="81" t="n">
        <f aca="false">'W Sites'!$G$12*'W Budget &amp; Owners'!$E$12*INDEX('W Assumptions'!$D$27:$F$27,1,D72)*(IF(C72='W Budget &amp; Owners'!$I$12,'W Assumptions'!$D$65,0)+IF(C72=DATE(YEAR('W Sites'!$F$12),MONTH('W Sites'!$F$12),1),1-'W Assumptions'!$D$65,0))+'W Sites'!$G$12*'W Budget &amp; Owners'!$E$12*IF(C72=DATE(2027,9,1),'W Assumptions'!$D$67,IF(C72=DATE(2028,9,1),'W Assumptions'!$D$69,0))</f>
        <v>0</v>
      </c>
      <c r="W72" s="81" t="n">
        <f aca="false">IF(((YEAR(C72)-YEAR('W Sites'!$F$12))*12+MONTH(C72)-MONTH('W Sites'!$F$12))&lt;'W Budget &amp; Owners'!$H$12,'W Budget &amp; Owners'!$E$12/'W Budget &amp; Owners'!$H$12*F72,0)+IF(C72&gt;=DATE(2027,9,1),'W Budget &amp; Owners'!$E$12*'W Assumptions'!$D$67/'W Budget &amp; Owners'!$H$12*F72,0)+IF(C72&gt;=DATE(2028,9,1),'W Budget &amp; Owners'!$E$12*'W Assumptions'!$D$69/'W Budget &amp; Owners'!$H$12*F72,0)</f>
        <v>7500</v>
      </c>
      <c r="X72" s="81" t="n">
        <f aca="false">IF(C72='W Budget &amp; Owners'!$I$12,'W Budget &amp; Owners'!$G$12*'W Sites'!$G$12,0)</f>
        <v>0</v>
      </c>
      <c r="Y72" s="112" t="n">
        <f aca="false">IF(SUM($G$66:$G$75)=0,0,'W Fees &amp; KPI'!$Q$12*G72/SUM($G$66:$G$75))</f>
        <v>3407.54746376812</v>
      </c>
      <c r="Z72" s="119" t="n">
        <f aca="false">IF(SUM($G$66:$G$75)=0,0,SUM('W Fees &amp; KPI'!$J$12,'W Fees &amp; KPI'!$M$12)*G72/SUM($G$66:$G$75))</f>
        <v>4086.25</v>
      </c>
      <c r="AA72" s="117" t="n">
        <f aca="false">T72-U72-Z72-Y72</f>
        <v>17723.8547101449</v>
      </c>
      <c r="AB72" s="119" t="n">
        <f aca="false">IF('W Fees &amp; KPI'!$D$12=0,0,T72-U72-Z72)</f>
        <v>21131.4021739131</v>
      </c>
    </row>
    <row r="73" customFormat="false" ht="21" hidden="false" customHeight="true" outlineLevel="0" collapsed="false">
      <c r="C73" s="144" t="n">
        <f aca="false">46447</f>
        <v>46447</v>
      </c>
      <c r="D73" s="81" t="n">
        <f aca="false">1</f>
        <v>1</v>
      </c>
      <c r="E73" s="81" t="str">
        <f aca="false">'W Sites'!C13</f>
        <v>S08</v>
      </c>
      <c r="F73" s="145" t="n">
        <f aca="false">'W Sites'!$G$13*MAX(0,EOMONTH(C73,0)-MAX(C73,'W Sites'!$F$13)+1)/DAY(EOMONTH(C73,0))</f>
        <v>1</v>
      </c>
      <c r="G73" s="145" t="n">
        <f aca="false">'W Sites'!$G$13*MAX(0,EOMONTH(C73,0)-MAX(C73,'W Sites'!$F$13,'W Assumptions'!$D$58)+1)/DAY(EOMONTH(C73,0))</f>
        <v>1</v>
      </c>
      <c r="H73" s="81" t="n">
        <f aca="false">'W Sites'!$H$13*F73*'W Sites'!$I$13*IF(((YEAR(C73)-YEAR('W Sites'!$F$13))*12+MONTH(C73)-MONTH('W Sites'!$F$13))=0,'W Assumptions'!$D$62,IF(((YEAR(C73)-YEAR('W Sites'!$F$13))*12+MONTH(C73)-MONTH('W Sites'!$F$13))=1,'W Assumptions'!$D$63,1))*INDEX('W Assumptions'!$D$7:$F$7,1,D73)*INDEX('W Assumptions'!$D$32:$F$32,1,D73)*INDEX('W Assumptions'!$D$80:$D$91,MONTH(C73),1)/AVERAGE('W Assumptions'!$D$80:$D$91)</f>
        <v>3432</v>
      </c>
      <c r="I73" s="81" t="n">
        <f aca="false">H73*'W Sites'!$J$13/(1+'W Assumptions'!$D$39)*INDEX('W Assumptions'!$D$12:$F$12,1,D73)*INDEX('W Assumptions'!$D$33:$F$33,1,D73)</f>
        <v>119373.913043478</v>
      </c>
      <c r="J73" s="81" t="n">
        <f aca="false">H73*'W Sites'!$K$13/(1+'W Assumptions'!$D$39)*INDEX('W Assumptions'!$D$12:$F$12,1,D73)*INDEX('W Assumptions'!$D$33:$F$33,1,D73)</f>
        <v>14921.7391304348</v>
      </c>
      <c r="K73" s="81" t="n">
        <f aca="false">'W Sites'!$L$13*F73*IF(((YEAR(C73)-YEAR('W Sites'!$F$13))*12+MONTH(C73)-MONTH('W Sites'!$F$13))=0,'W Assumptions'!$D$62,IF(((YEAR(C73)-YEAR('W Sites'!$F$13))*12+MONTH(C73)-MONTH('W Sites'!$F$13))=1,'W Assumptions'!$D$63,1))*INDEX('W Assumptions'!$D$7:$F$7,1,D73)*INDEX('W Assumptions'!$D$32:$F$32,1,D73)</f>
        <v>12000</v>
      </c>
      <c r="L73" s="81" t="n">
        <f aca="false">SUM(I73:K73)</f>
        <v>146295.652173913</v>
      </c>
      <c r="M73" s="81" t="n">
        <f aca="false">'W Site Costs'!$I$13*F73*INDEX('W Assumptions'!$D$34:$F$34,1,D73)*INDEX('W Assumptions'!$D$22:$F$22,1,D73)</f>
        <v>53336</v>
      </c>
      <c r="N73" s="81" t="n">
        <f aca="false">'W Site Costs'!$J$13*F73*INDEX('W Assumptions'!$D$35:$F$35,1,D73)*INDEX('W Assumptions'!$D$22:$F$22,1,D73)</f>
        <v>0</v>
      </c>
      <c r="O73" s="81" t="n">
        <f aca="false">L73*'W Site Costs'!$K$13</f>
        <v>14629.5652173913</v>
      </c>
      <c r="P73" s="81" t="n">
        <f aca="false">SUM('W Site Costs'!$L$13:$Q$13)*F73*INDEX('W Assumptions'!$D$35:$F$35,1,D73)*INDEX('W Assumptions'!$D$22:$F$22,1,D73)</f>
        <v>25500</v>
      </c>
      <c r="Q73" s="81" t="n">
        <f aca="false">L73*'W Site Costs'!$R$13*INDEX('W Assumptions'!$D$17:$F$17,1,D73)</f>
        <v>11703.652173913</v>
      </c>
      <c r="R73" s="112" t="n">
        <f aca="false">L73*'W Sites'!$M$13</f>
        <v>0</v>
      </c>
      <c r="S73" s="81" t="n">
        <f aca="false">SUM(M73:R73)</f>
        <v>105169.217391304</v>
      </c>
      <c r="T73" s="81" t="n">
        <f aca="false">L73-S73</f>
        <v>41126.4347826087</v>
      </c>
      <c r="U73" s="81" t="n">
        <f aca="false">IF(C73='W Budget &amp; Owners'!$I$13,'W Budget &amp; Owners'!$F$13*'W Sites'!$G$13,0)</f>
        <v>0</v>
      </c>
      <c r="V73" s="81" t="n">
        <f aca="false">'W Sites'!$G$13*'W Budget &amp; Owners'!$E$13*INDEX('W Assumptions'!$D$27:$F$27,1,D73)*(IF(C73='W Budget &amp; Owners'!$I$13,'W Assumptions'!$D$65,0)+IF(C73=DATE(YEAR('W Sites'!$F$13),MONTH('W Sites'!$F$13),1),1-'W Assumptions'!$D$65,0))+'W Sites'!$G$13*'W Budget &amp; Owners'!$E$13*IF(C73=DATE(2027,9,1),'W Assumptions'!$D$67,IF(C73=DATE(2028,9,1),'W Assumptions'!$D$69,0))</f>
        <v>0</v>
      </c>
      <c r="W73" s="81" t="n">
        <f aca="false">IF(((YEAR(C73)-YEAR('W Sites'!$F$13))*12+MONTH(C73)-MONTH('W Sites'!$F$13))&lt;'W Budget &amp; Owners'!$H$13,'W Budget &amp; Owners'!$E$13/'W Budget &amp; Owners'!$H$13*F73,0)+IF(C73&gt;=DATE(2027,9,1),'W Budget &amp; Owners'!$E$13*'W Assumptions'!$D$67/'W Budget &amp; Owners'!$H$13*F73,0)+IF(C73&gt;=DATE(2028,9,1),'W Budget &amp; Owners'!$E$13*'W Assumptions'!$D$69/'W Budget &amp; Owners'!$H$13*F73,0)</f>
        <v>20000</v>
      </c>
      <c r="X73" s="81" t="n">
        <f aca="false">IF(C73='W Budget &amp; Owners'!$I$13,'W Budget &amp; Owners'!$G$13*'W Sites'!$G$13,0)</f>
        <v>0</v>
      </c>
      <c r="Y73" s="112" t="n">
        <f aca="false">IF(SUM($G$66:$G$75)=0,0,'W Fees &amp; KPI'!$Q$12*G73/SUM($G$66:$G$75))</f>
        <v>3407.54746376812</v>
      </c>
      <c r="Z73" s="119" t="n">
        <f aca="false">IF(SUM($G$66:$G$75)=0,0,SUM('W Fees &amp; KPI'!$J$12,'W Fees &amp; KPI'!$M$12)*G73/SUM($G$66:$G$75))</f>
        <v>4086.25</v>
      </c>
      <c r="AA73" s="117" t="n">
        <f aca="false">T73-U73-Z73-Y73</f>
        <v>33632.6373188406</v>
      </c>
      <c r="AB73" s="119" t="n">
        <f aca="false">IF('W Fees &amp; KPI'!$D$12=0,0,T73-U73-Z73)</f>
        <v>37040.1847826087</v>
      </c>
    </row>
    <row r="74" customFormat="false" ht="21" hidden="false" customHeight="true" outlineLevel="0" collapsed="false">
      <c r="C74" s="144" t="n">
        <f aca="false">46447</f>
        <v>46447</v>
      </c>
      <c r="D74" s="81" t="n">
        <f aca="false">1</f>
        <v>1</v>
      </c>
      <c r="E74" s="81" t="str">
        <f aca="false">'W Sites'!C14</f>
        <v>S09</v>
      </c>
      <c r="F74" s="145" t="n">
        <f aca="false">'W Sites'!$G$14*MAX(0,EOMONTH(C74,0)-MAX(C74,'W Sites'!$F$14)+1)/DAY(EOMONTH(C74,0))</f>
        <v>0</v>
      </c>
      <c r="G74" s="145" t="n">
        <f aca="false">'W Sites'!$G$14*MAX(0,EOMONTH(C74,0)-MAX(C74,'W Sites'!$F$14,'W Assumptions'!$D$58)+1)/DAY(EOMONTH(C74,0))</f>
        <v>0</v>
      </c>
      <c r="H74" s="81" t="n">
        <f aca="false">'W Sites'!$H$14*F74*'W Sites'!$I$14*IF(((YEAR(C74)-YEAR('W Sites'!$F$14))*12+MONTH(C74)-MONTH('W Sites'!$F$14))=0,'W Assumptions'!$D$62,IF(((YEAR(C74)-YEAR('W Sites'!$F$14))*12+MONTH(C74)-MONTH('W Sites'!$F$14))=1,'W Assumptions'!$D$63,1))*INDEX('W Assumptions'!$D$7:$F$7,1,D74)*INDEX('W Assumptions'!$D$32:$F$32,1,D74)*INDEX('W Assumptions'!$D$80:$D$91,MONTH(C74),1)/AVERAGE('W Assumptions'!$D$80:$D$91)</f>
        <v>0</v>
      </c>
      <c r="I74" s="81" t="n">
        <f aca="false">H74*'W Sites'!$J$14/(1+'W Assumptions'!$D$39)*INDEX('W Assumptions'!$D$12:$F$12,1,D74)*INDEX('W Assumptions'!$D$33:$F$33,1,D74)</f>
        <v>0</v>
      </c>
      <c r="J74" s="81" t="n">
        <f aca="false">H74*'W Sites'!$K$14/(1+'W Assumptions'!$D$39)*INDEX('W Assumptions'!$D$12:$F$12,1,D74)*INDEX('W Assumptions'!$D$33:$F$33,1,D74)</f>
        <v>0</v>
      </c>
      <c r="K74" s="81" t="n">
        <f aca="false">'W Sites'!$L$14*F74*IF(((YEAR(C74)-YEAR('W Sites'!$F$14))*12+MONTH(C74)-MONTH('W Sites'!$F$14))=0,'W Assumptions'!$D$62,IF(((YEAR(C74)-YEAR('W Sites'!$F$14))*12+MONTH(C74)-MONTH('W Sites'!$F$14))=1,'W Assumptions'!$D$63,1))*INDEX('W Assumptions'!$D$7:$F$7,1,D74)*INDEX('W Assumptions'!$D$32:$F$32,1,D74)</f>
        <v>0</v>
      </c>
      <c r="L74" s="81" t="n">
        <f aca="false">SUM(I74:K74)</f>
        <v>0</v>
      </c>
      <c r="M74" s="81" t="n">
        <f aca="false">'W Site Costs'!$I$14*F74*INDEX('W Assumptions'!$D$34:$F$34,1,D74)*INDEX('W Assumptions'!$D$22:$F$22,1,D74)</f>
        <v>0</v>
      </c>
      <c r="N74" s="81" t="n">
        <f aca="false">'W Site Costs'!$J$14*F74*INDEX('W Assumptions'!$D$35:$F$35,1,D74)*INDEX('W Assumptions'!$D$22:$F$22,1,D74)</f>
        <v>0</v>
      </c>
      <c r="O74" s="81" t="n">
        <f aca="false">L74*'W Site Costs'!$K$14</f>
        <v>0</v>
      </c>
      <c r="P74" s="81" t="n">
        <f aca="false">SUM('W Site Costs'!$L$14:$Q$14)*F74*INDEX('W Assumptions'!$D$35:$F$35,1,D74)*INDEX('W Assumptions'!$D$22:$F$22,1,D74)</f>
        <v>0</v>
      </c>
      <c r="Q74" s="81" t="n">
        <f aca="false">L74*'W Site Costs'!$R$14*INDEX('W Assumptions'!$D$17:$F$17,1,D74)</f>
        <v>0</v>
      </c>
      <c r="R74" s="112" t="n">
        <f aca="false">L74*'W Sites'!$M$14</f>
        <v>0</v>
      </c>
      <c r="S74" s="81" t="n">
        <f aca="false">SUM(M74:R74)</f>
        <v>0</v>
      </c>
      <c r="T74" s="81" t="n">
        <f aca="false">L74-S74</f>
        <v>0</v>
      </c>
      <c r="U74" s="81" t="n">
        <f aca="false">IF(C74='W Budget &amp; Owners'!$I$14,'W Budget &amp; Owners'!$F$14*'W Sites'!$G$14,0)</f>
        <v>0</v>
      </c>
      <c r="V74" s="81" t="n">
        <f aca="false">'W Sites'!$G$14*'W Budget &amp; Owners'!$E$14*INDEX('W Assumptions'!$D$27:$F$27,1,D74)*(IF(C74='W Budget &amp; Owners'!$I$14,'W Assumptions'!$D$65,0)+IF(C74=DATE(YEAR('W Sites'!$F$14),MONTH('W Sites'!$F$14),1),1-'W Assumptions'!$D$65,0))+'W Sites'!$G$14*'W Budget &amp; Owners'!$E$14*IF(C74=DATE(2027,9,1),'W Assumptions'!$D$67,IF(C74=DATE(2028,9,1),'W Assumptions'!$D$69,0))</f>
        <v>0</v>
      </c>
      <c r="W74" s="81" t="n">
        <f aca="false">IF(((YEAR(C74)-YEAR('W Sites'!$F$14))*12+MONTH(C74)-MONTH('W Sites'!$F$14))&lt;'W Budget &amp; Owners'!$H$14,'W Budget &amp; Owners'!$E$14/'W Budget &amp; Owners'!$H$14*F74,0)+IF(C74&gt;=DATE(2027,9,1),'W Budget &amp; Owners'!$E$14*'W Assumptions'!$D$67/'W Budget &amp; Owners'!$H$14*F74,0)+IF(C74&gt;=DATE(2028,9,1),'W Budget &amp; Owners'!$E$14*'W Assumptions'!$D$69/'W Budget &amp; Owners'!$H$14*F74,0)</f>
        <v>0</v>
      </c>
      <c r="X74" s="81" t="n">
        <f aca="false">IF(C74='W Budget &amp; Owners'!$I$14,'W Budget &amp; Owners'!$G$14*'W Sites'!$G$14,0)</f>
        <v>0</v>
      </c>
      <c r="Y74" s="112" t="n">
        <f aca="false">IF(SUM($G$66:$G$75)=0,0,'W Fees &amp; KPI'!$Q$12*G74/SUM($G$66:$G$75))</f>
        <v>0</v>
      </c>
      <c r="Z74" s="119" t="n">
        <f aca="false">IF(SUM($G$66:$G$75)=0,0,SUM('W Fees &amp; KPI'!$J$12,'W Fees &amp; KPI'!$M$12)*G74/SUM($G$66:$G$75))</f>
        <v>0</v>
      </c>
      <c r="AA74" s="117" t="n">
        <f aca="false">T74-U74-Z74-Y74</f>
        <v>0</v>
      </c>
      <c r="AB74" s="119" t="n">
        <f aca="false">IF('W Fees &amp; KPI'!$D$12=0,0,T74-U74-Z74)</f>
        <v>0</v>
      </c>
    </row>
    <row r="75" customFormat="false" ht="21" hidden="false" customHeight="true" outlineLevel="0" collapsed="false">
      <c r="C75" s="144" t="n">
        <f aca="false">46447</f>
        <v>46447</v>
      </c>
      <c r="D75" s="81" t="n">
        <f aca="false">1</f>
        <v>1</v>
      </c>
      <c r="E75" s="81" t="str">
        <f aca="false">'W Sites'!C15</f>
        <v>S10</v>
      </c>
      <c r="F75" s="145" t="n">
        <f aca="false">'W Sites'!$G$15*MAX(0,EOMONTH(C75,0)-MAX(C75,'W Sites'!$F$15)+1)/DAY(EOMONTH(C75,0))</f>
        <v>0</v>
      </c>
      <c r="G75" s="145" t="n">
        <f aca="false">'W Sites'!$G$15*MAX(0,EOMONTH(C75,0)-MAX(C75,'W Sites'!$F$15,'W Assumptions'!$D$58)+1)/DAY(EOMONTH(C75,0))</f>
        <v>0</v>
      </c>
      <c r="H75" s="81" t="n">
        <f aca="false">'W Sites'!$H$15*F75*'W Sites'!$I$15*IF(((YEAR(C75)-YEAR('W Sites'!$F$15))*12+MONTH(C75)-MONTH('W Sites'!$F$15))=0,'W Assumptions'!$D$62,IF(((YEAR(C75)-YEAR('W Sites'!$F$15))*12+MONTH(C75)-MONTH('W Sites'!$F$15))=1,'W Assumptions'!$D$63,1))*INDEX('W Assumptions'!$D$7:$F$7,1,D75)*INDEX('W Assumptions'!$D$32:$F$32,1,D75)*INDEX('W Assumptions'!$D$80:$D$91,MONTH(C75),1)/AVERAGE('W Assumptions'!$D$80:$D$91)</f>
        <v>0</v>
      </c>
      <c r="I75" s="81" t="n">
        <f aca="false">H75*'W Sites'!$J$15/(1+'W Assumptions'!$D$39)*INDEX('W Assumptions'!$D$12:$F$12,1,D75)*INDEX('W Assumptions'!$D$33:$F$33,1,D75)</f>
        <v>0</v>
      </c>
      <c r="J75" s="81" t="n">
        <f aca="false">H75*'W Sites'!$K$15/(1+'W Assumptions'!$D$39)*INDEX('W Assumptions'!$D$12:$F$12,1,D75)*INDEX('W Assumptions'!$D$33:$F$33,1,D75)</f>
        <v>0</v>
      </c>
      <c r="K75" s="81" t="n">
        <f aca="false">'W Sites'!$L$15*F75*IF(((YEAR(C75)-YEAR('W Sites'!$F$15))*12+MONTH(C75)-MONTH('W Sites'!$F$15))=0,'W Assumptions'!$D$62,IF(((YEAR(C75)-YEAR('W Sites'!$F$15))*12+MONTH(C75)-MONTH('W Sites'!$F$15))=1,'W Assumptions'!$D$63,1))*INDEX('W Assumptions'!$D$7:$F$7,1,D75)*INDEX('W Assumptions'!$D$32:$F$32,1,D75)</f>
        <v>0</v>
      </c>
      <c r="L75" s="81" t="n">
        <f aca="false">SUM(I75:K75)</f>
        <v>0</v>
      </c>
      <c r="M75" s="81" t="n">
        <f aca="false">'W Site Costs'!$I$15*F75*INDEX('W Assumptions'!$D$34:$F$34,1,D75)*INDEX('W Assumptions'!$D$22:$F$22,1,D75)</f>
        <v>0</v>
      </c>
      <c r="N75" s="81" t="n">
        <f aca="false">'W Site Costs'!$J$15*F75*INDEX('W Assumptions'!$D$35:$F$35,1,D75)*INDEX('W Assumptions'!$D$22:$F$22,1,D75)</f>
        <v>0</v>
      </c>
      <c r="O75" s="81" t="n">
        <f aca="false">L75*'W Site Costs'!$K$15</f>
        <v>0</v>
      </c>
      <c r="P75" s="81" t="n">
        <f aca="false">SUM('W Site Costs'!$L$15:$Q$15)*F75*INDEX('W Assumptions'!$D$35:$F$35,1,D75)*INDEX('W Assumptions'!$D$22:$F$22,1,D75)</f>
        <v>0</v>
      </c>
      <c r="Q75" s="81" t="n">
        <f aca="false">L75*'W Site Costs'!$R$15*INDEX('W Assumptions'!$D$17:$F$17,1,D75)</f>
        <v>0</v>
      </c>
      <c r="R75" s="112" t="n">
        <f aca="false">L75*'W Sites'!$M$15</f>
        <v>0</v>
      </c>
      <c r="S75" s="81" t="n">
        <f aca="false">SUM(M75:R75)</f>
        <v>0</v>
      </c>
      <c r="T75" s="81" t="n">
        <f aca="false">L75-S75</f>
        <v>0</v>
      </c>
      <c r="U75" s="81" t="n">
        <f aca="false">IF(C75='W Budget &amp; Owners'!$I$15,'W Budget &amp; Owners'!$F$15*'W Sites'!$G$15,0)</f>
        <v>0</v>
      </c>
      <c r="V75" s="81" t="n">
        <f aca="false">'W Sites'!$G$15*'W Budget &amp; Owners'!$E$15*INDEX('W Assumptions'!$D$27:$F$27,1,D75)*(IF(C75='W Budget &amp; Owners'!$I$15,'W Assumptions'!$D$65,0)+IF(C75=DATE(YEAR('W Sites'!$F$15),MONTH('W Sites'!$F$15),1),1-'W Assumptions'!$D$65,0))+'W Sites'!$G$15*'W Budget &amp; Owners'!$E$15*IF(C75=DATE(2027,9,1),'W Assumptions'!$D$67,IF(C75=DATE(2028,9,1),'W Assumptions'!$D$69,0))</f>
        <v>0</v>
      </c>
      <c r="W75" s="81" t="n">
        <f aca="false">IF(((YEAR(C75)-YEAR('W Sites'!$F$15))*12+MONTH(C75)-MONTH('W Sites'!$F$15))&lt;'W Budget &amp; Owners'!$H$15,'W Budget &amp; Owners'!$E$15/'W Budget &amp; Owners'!$H$15*F75,0)+IF(C75&gt;=DATE(2027,9,1),'W Budget &amp; Owners'!$E$15*'W Assumptions'!$D$67/'W Budget &amp; Owners'!$H$15*F75,0)+IF(C75&gt;=DATE(2028,9,1),'W Budget &amp; Owners'!$E$15*'W Assumptions'!$D$69/'W Budget &amp; Owners'!$H$15*F75,0)</f>
        <v>0</v>
      </c>
      <c r="X75" s="81" t="n">
        <f aca="false">IF(C75='W Budget &amp; Owners'!$I$15,'W Budget &amp; Owners'!$G$15*'W Sites'!$G$15,0)</f>
        <v>0</v>
      </c>
      <c r="Y75" s="112" t="n">
        <f aca="false">IF(SUM($G$66:$G$75)=0,0,'W Fees &amp; KPI'!$Q$12*G75/SUM($G$66:$G$75))</f>
        <v>0</v>
      </c>
      <c r="Z75" s="119" t="n">
        <f aca="false">IF(SUM($G$66:$G$75)=0,0,SUM('W Fees &amp; KPI'!$J$12,'W Fees &amp; KPI'!$M$12)*G75/SUM($G$66:$G$75))</f>
        <v>0</v>
      </c>
      <c r="AA75" s="117" t="n">
        <f aca="false">T75-U75-Z75-Y75</f>
        <v>0</v>
      </c>
      <c r="AB75" s="119" t="n">
        <f aca="false">IF('W Fees &amp; KPI'!$D$12=0,0,T75-U75-Z75)</f>
        <v>0</v>
      </c>
    </row>
    <row r="76" customFormat="false" ht="21" hidden="false" customHeight="true" outlineLevel="0" collapsed="false">
      <c r="C76" s="144" t="n">
        <f aca="false">46478</f>
        <v>46478</v>
      </c>
      <c r="D76" s="81" t="n">
        <f aca="false">1</f>
        <v>1</v>
      </c>
      <c r="E76" s="81" t="str">
        <f aca="false">'W Sites'!C6</f>
        <v>S01</v>
      </c>
      <c r="F76" s="145" t="n">
        <f aca="false">'W Sites'!$G$6*MAX(0,EOMONTH(C76,0)-MAX(C76,'W Sites'!$F$6)+1)/DAY(EOMONTH(C76,0))</f>
        <v>1</v>
      </c>
      <c r="G76" s="145" t="n">
        <f aca="false">'W Sites'!$G$6*MAX(0,EOMONTH(C76,0)-MAX(C76,'W Sites'!$F$6,'W Assumptions'!$D$58)+1)/DAY(EOMONTH(C76,0))</f>
        <v>1</v>
      </c>
      <c r="H76" s="81" t="n">
        <f aca="false">'W Sites'!$D$45*INDEX('W Sites'!$E$65:$E$76,MONTH(C76),1)/SUM('W Sites'!$E$65:$E$76)*F76*(1+'W Sites'!$D$56)^(D76-1)*INDEX('W Assumptions'!$D$7:$F$7,1,D76)</f>
        <v>5860</v>
      </c>
      <c r="I76" s="81" t="n">
        <f aca="false">H76*'W Sites'!$D$46/(1+'W Sites'!$D$54*'W Assumptions'!$D$39)*INDEX('W Assumptions'!$D$12:$F$12,1,D76)</f>
        <v>322300</v>
      </c>
      <c r="J76" s="81" t="n">
        <f aca="false">H76*SUM('W Sites'!$D$47:$D$49)/(1+'W Sites'!$D$54*'W Assumptions'!$D$39)*INDEX('W Assumptions'!$D$12:$F$12,1,D76)</f>
        <v>175800</v>
      </c>
      <c r="K76" s="81" t="n">
        <f aca="false">SUM('W Sites'!$D$50:$D$52)/12*F76*(1+'W Sites'!$D$56)^(D76-1)*INDEX('W Assumptions'!$D$7:$F$7,1,D76)*INDEX('W Assumptions'!$D$12:$F$12,1,D76)/(1+'W Sites'!$D$54*'W Assumptions'!$D$39)</f>
        <v>33333.3333333333</v>
      </c>
      <c r="L76" s="81" t="n">
        <f aca="false">SUM(I76:K76)</f>
        <v>531433.333333333</v>
      </c>
      <c r="M76" s="81" t="n">
        <f aca="false">('W Site Costs'!$I$6+INDEX('W Sites'!$F$65:$F$76,MONTH(C76),1)*'W Site Costs'!$V$6)*F76*(1+'W Sites'!$D$58)^(D76-1)*INDEX('W Assumptions'!$D$22:$F$22,1,D76)</f>
        <v>163000</v>
      </c>
      <c r="N76" s="81" t="n">
        <f aca="false">'W Site Costs'!$J$6*F76*INDEX('W Assumptions'!$D$35:$F$35,1,D76)*INDEX('W Assumptions'!$D$22:$F$22,1,D76)</f>
        <v>15000</v>
      </c>
      <c r="O76" s="81" t="n">
        <f aca="false">L76*'W Site Costs'!$K$6</f>
        <v>0</v>
      </c>
      <c r="P76" s="81" t="n">
        <f aca="false">(SUM('W Site Costs'!$L$6:$Q$6)+INDEX('W Sites'!$F$65:$F$76,MONTH(C76),1)*'W Site Costs'!$W$6)*F76*(1+'W Sites'!$D$58)^(D76-1)*INDEX('W Assumptions'!$D$22:$F$22,1,D76)</f>
        <v>107000</v>
      </c>
      <c r="Q76" s="81" t="n">
        <f aca="false">('W Site Costs'!$X$6+INDEX('W Sites'!$F$65:$F$76,MONTH(C76),1)*'W Site Costs'!$Y$6)*F76*(1+'W Sites'!$D$58)^(D76-1)*INDEX('W Assumptions'!$D$17:$F$17,1,D76)</f>
        <v>25000</v>
      </c>
      <c r="R76" s="112" t="n">
        <f aca="false">L76*'W Sites'!$M$6</f>
        <v>0</v>
      </c>
      <c r="S76" s="81" t="n">
        <f aca="false">SUM(M76:R76)</f>
        <v>310000</v>
      </c>
      <c r="T76" s="81" t="n">
        <f aca="false">L76-S76</f>
        <v>221433.333333333</v>
      </c>
      <c r="U76" s="81" t="n">
        <f aca="false">IF(C76='W Budget &amp; Owners'!$I$6,'W Budget &amp; Owners'!$F$6*'W Sites'!$G$6,0)</f>
        <v>0</v>
      </c>
      <c r="V76" s="81" t="n">
        <f aca="false">'W Sites'!$G$6*'W Budget &amp; Owners'!$E$6*INDEX('W Assumptions'!$D$27:$F$27,1,D76)*(IF(C76='W Budget &amp; Owners'!$I$6,'W Assumptions'!$D$65,0)+IF(C76=DATE(YEAR('W Sites'!$F$6),MONTH('W Sites'!$F$6),1),1-'W Assumptions'!$D$65,0))+'W Sites'!$G$6*'W Budget &amp; Owners'!$E$6*IF(C76=DATE(2027,9,1),'W Assumptions'!$D$67,IF(C76=DATE(2028,9,1),'W Assumptions'!$D$69,0))</f>
        <v>0</v>
      </c>
      <c r="W76" s="81" t="n">
        <f aca="false">IF(((YEAR(C76)-YEAR('W Sites'!$F$6))*12+MONTH(C76)-MONTH('W Sites'!$F$6))&lt;'W Budget &amp; Owners'!$H$6,'W Budget &amp; Owners'!$E$6/'W Budget &amp; Owners'!$H$6*F76,0)+IF(C76&gt;=DATE(2027,9,1),'W Budget &amp; Owners'!$E$6*'W Assumptions'!$D$67/'W Budget &amp; Owners'!$H$6*F76,0)+IF(C76&gt;=DATE(2028,9,1),'W Budget &amp; Owners'!$E$6*'W Assumptions'!$D$69/'W Budget &amp; Owners'!$H$6*F76,0)</f>
        <v>5833.33333333333</v>
      </c>
      <c r="X76" s="81" t="n">
        <f aca="false">IF(C76='W Budget &amp; Owners'!$I$6,'W Budget &amp; Owners'!$G$6*'W Sites'!$G$6,0)</f>
        <v>0</v>
      </c>
      <c r="Y76" s="112" t="n">
        <f aca="false">IF(SUM($G$76:$G$85)=0,0,'W Fees &amp; KPI'!$Q$13*G76/SUM($G$76:$G$85))</f>
        <v>3378.45045289855</v>
      </c>
      <c r="Z76" s="119" t="n">
        <f aca="false">IF(SUM($G$76:$G$85)=0,0,SUM('W Fees &amp; KPI'!$J$13,'W Fees &amp; KPI'!$M$13)*G76/SUM($G$76:$G$85))</f>
        <v>4086.25</v>
      </c>
      <c r="AA76" s="117" t="n">
        <f aca="false">T76-U76-Z76-Y76</f>
        <v>213968.632880435</v>
      </c>
      <c r="AB76" s="119" t="n">
        <f aca="false">IF('W Fees &amp; KPI'!$D$13=0,0,T76-U76-Z76)</f>
        <v>217347.083333333</v>
      </c>
    </row>
    <row r="77" customFormat="false" ht="21" hidden="false" customHeight="true" outlineLevel="0" collapsed="false">
      <c r="C77" s="144" t="n">
        <f aca="false">46478</f>
        <v>46478</v>
      </c>
      <c r="D77" s="81" t="n">
        <f aca="false">1</f>
        <v>1</v>
      </c>
      <c r="E77" s="81" t="str">
        <f aca="false">'W Sites'!C7</f>
        <v>S02</v>
      </c>
      <c r="F77" s="145" t="n">
        <f aca="false">'W Sites'!$G$7*MAX(0,EOMONTH(C77,0)-MAX(C77,'W Sites'!$F$7)+1)/DAY(EOMONTH(C77,0))</f>
        <v>1</v>
      </c>
      <c r="G77" s="145" t="n">
        <f aca="false">'W Sites'!$G$7*MAX(0,EOMONTH(C77,0)-MAX(C77,'W Sites'!$F$7,'W Assumptions'!$D$58)+1)/DAY(EOMONTH(C77,0))</f>
        <v>1</v>
      </c>
      <c r="H77" s="81" t="n">
        <f aca="false">'W Sites'!$H$7*F77*'W Sites'!$I$7*IF(((YEAR(C77)-YEAR('W Sites'!$F$7))*12+MONTH(C77)-MONTH('W Sites'!$F$7))=0,'W Assumptions'!$D$62,IF(((YEAR(C77)-YEAR('W Sites'!$F$7))*12+MONTH(C77)-MONTH('W Sites'!$F$7))=1,'W Assumptions'!$D$63,1))*INDEX('W Assumptions'!$D$7:$F$7,1,D77)*INDEX('W Assumptions'!$D$32:$F$32,1,D77)*INDEX('W Assumptions'!$D$80:$D$91,MONTH(C77),1)/AVERAGE('W Assumptions'!$D$80:$D$91)</f>
        <v>2205</v>
      </c>
      <c r="I77" s="81" t="n">
        <f aca="false">H77*'W Sites'!$J$7/(1+'W Assumptions'!$D$39)*INDEX('W Assumptions'!$D$12:$F$12,1,D77)*INDEX('W Assumptions'!$D$33:$F$33,1,D77)</f>
        <v>67108.6956521739</v>
      </c>
      <c r="J77" s="81" t="n">
        <f aca="false">H77*'W Sites'!$K$7/(1+'W Assumptions'!$D$39)*INDEX('W Assumptions'!$D$12:$F$12,1,D77)*INDEX('W Assumptions'!$D$33:$F$33,1,D77)</f>
        <v>5752.17391304348</v>
      </c>
      <c r="K77" s="81" t="n">
        <f aca="false">'W Sites'!$L$7*F77*IF(((YEAR(C77)-YEAR('W Sites'!$F$7))*12+MONTH(C77)-MONTH('W Sites'!$F$7))=0,'W Assumptions'!$D$62,IF(((YEAR(C77)-YEAR('W Sites'!$F$7))*12+MONTH(C77)-MONTH('W Sites'!$F$7))=1,'W Assumptions'!$D$63,1))*INDEX('W Assumptions'!$D$7:$F$7,1,D77)*INDEX('W Assumptions'!$D$32:$F$32,1,D77)</f>
        <v>5000</v>
      </c>
      <c r="L77" s="81" t="n">
        <f aca="false">SUM(I77:K77)</f>
        <v>77860.8695652174</v>
      </c>
      <c r="M77" s="81" t="n">
        <f aca="false">'W Site Costs'!$I$7*F77*INDEX('W Assumptions'!$D$34:$F$34,1,D77)*INDEX('W Assumptions'!$D$22:$F$22,1,D77)</f>
        <v>32450</v>
      </c>
      <c r="N77" s="81" t="n">
        <f aca="false">'W Site Costs'!$J$7*F77*INDEX('W Assumptions'!$D$35:$F$35,1,D77)*INDEX('W Assumptions'!$D$22:$F$22,1,D77)</f>
        <v>0</v>
      </c>
      <c r="O77" s="81" t="n">
        <f aca="false">L77*'W Site Costs'!$K$7</f>
        <v>11679.1304347826</v>
      </c>
      <c r="P77" s="81" t="n">
        <f aca="false">SUM('W Site Costs'!$L$7:$Q$7)*F77*INDEX('W Assumptions'!$D$35:$F$35,1,D77)*INDEX('W Assumptions'!$D$22:$F$22,1,D77)</f>
        <v>11700</v>
      </c>
      <c r="Q77" s="81" t="n">
        <f aca="false">L77*'W Site Costs'!$R$7*INDEX('W Assumptions'!$D$17:$F$17,1,D77)</f>
        <v>4671.65217391304</v>
      </c>
      <c r="R77" s="112" t="n">
        <f aca="false">L77*'W Sites'!$M$7</f>
        <v>0</v>
      </c>
      <c r="S77" s="81" t="n">
        <f aca="false">SUM(M77:R77)</f>
        <v>60500.7826086957</v>
      </c>
      <c r="T77" s="81" t="n">
        <f aca="false">L77-S77</f>
        <v>17360.0869565217</v>
      </c>
      <c r="U77" s="81" t="n">
        <f aca="false">IF(C77='W Budget &amp; Owners'!$I$7,'W Budget &amp; Owners'!$F$7*'W Sites'!$G$7,0)</f>
        <v>0</v>
      </c>
      <c r="V77" s="81" t="n">
        <f aca="false">'W Sites'!$G$7*'W Budget &amp; Owners'!$E$7*INDEX('W Assumptions'!$D$27:$F$27,1,D77)*(IF(C77='W Budget &amp; Owners'!$I$7,'W Assumptions'!$D$65,0)+IF(C77=DATE(YEAR('W Sites'!$F$7),MONTH('W Sites'!$F$7),1),1-'W Assumptions'!$D$65,0))+'W Sites'!$G$7*'W Budget &amp; Owners'!$E$7*IF(C77=DATE(2027,9,1),'W Assumptions'!$D$67,IF(C77=DATE(2028,9,1),'W Assumptions'!$D$69,0))</f>
        <v>0</v>
      </c>
      <c r="W77" s="81" t="n">
        <f aca="false">IF(((YEAR(C77)-YEAR('W Sites'!$F$7))*12+MONTH(C77)-MONTH('W Sites'!$F$7))&lt;'W Budget &amp; Owners'!$H$7,'W Budget &amp; Owners'!$E$7/'W Budget &amp; Owners'!$H$7*F77,0)+IF(C77&gt;=DATE(2027,9,1),'W Budget &amp; Owners'!$E$7*'W Assumptions'!$D$67/'W Budget &amp; Owners'!$H$7*F77,0)+IF(C77&gt;=DATE(2028,9,1),'W Budget &amp; Owners'!$E$7*'W Assumptions'!$D$69/'W Budget &amp; Owners'!$H$7*F77,0)</f>
        <v>1333.33333333333</v>
      </c>
      <c r="X77" s="81" t="n">
        <f aca="false">IF(C77='W Budget &amp; Owners'!$I$7,'W Budget &amp; Owners'!$G$7*'W Sites'!$G$7,0)</f>
        <v>0</v>
      </c>
      <c r="Y77" s="112" t="n">
        <f aca="false">IF(SUM($G$76:$G$85)=0,0,'W Fees &amp; KPI'!$Q$13*G77/SUM($G$76:$G$85))</f>
        <v>3378.45045289855</v>
      </c>
      <c r="Z77" s="119" t="n">
        <f aca="false">IF(SUM($G$76:$G$85)=0,0,SUM('W Fees &amp; KPI'!$J$13,'W Fees &amp; KPI'!$M$13)*G77/SUM($G$76:$G$85))</f>
        <v>4086.25</v>
      </c>
      <c r="AA77" s="117" t="n">
        <f aca="false">T77-U77-Z77-Y77</f>
        <v>9895.3865036232</v>
      </c>
      <c r="AB77" s="119" t="n">
        <f aca="false">IF('W Fees &amp; KPI'!$D$13=0,0,T77-U77-Z77)</f>
        <v>13273.8369565217</v>
      </c>
    </row>
    <row r="78" customFormat="false" ht="21" hidden="false" customHeight="true" outlineLevel="0" collapsed="false">
      <c r="C78" s="144" t="n">
        <f aca="false">46478</f>
        <v>46478</v>
      </c>
      <c r="D78" s="81" t="n">
        <f aca="false">1</f>
        <v>1</v>
      </c>
      <c r="E78" s="81" t="str">
        <f aca="false">'W Sites'!C8</f>
        <v>S03</v>
      </c>
      <c r="F78" s="145" t="n">
        <f aca="false">'W Sites'!$G$8*MAX(0,EOMONTH(C78,0)-MAX(C78,'W Sites'!$F$8)+1)/DAY(EOMONTH(C78,0))</f>
        <v>1</v>
      </c>
      <c r="G78" s="145" t="n">
        <f aca="false">'W Sites'!$G$8*MAX(0,EOMONTH(C78,0)-MAX(C78,'W Sites'!$F$8,'W Assumptions'!$D$58)+1)/DAY(EOMONTH(C78,0))</f>
        <v>1</v>
      </c>
      <c r="H78" s="81" t="n">
        <f aca="false">'W Sites'!$H$8*F78*'W Sites'!$I$8*IF(((YEAR(C78)-YEAR('W Sites'!$F$8))*12+MONTH(C78)-MONTH('W Sites'!$F$8))=0,'W Assumptions'!$D$62,IF(((YEAR(C78)-YEAR('W Sites'!$F$8))*12+MONTH(C78)-MONTH('W Sites'!$F$8))=1,'W Assumptions'!$D$63,1))*INDEX('W Assumptions'!$D$7:$F$7,1,D78)*INDEX('W Assumptions'!$D$32:$F$32,1,D78)*INDEX('W Assumptions'!$D$80:$D$91,MONTH(C78),1)/AVERAGE('W Assumptions'!$D$80:$D$91)</f>
        <v>2977.39726027397</v>
      </c>
      <c r="I78" s="81" t="n">
        <f aca="false">H78*'W Sites'!$J$8/(1+'W Assumptions'!$D$39)*INDEX('W Assumptions'!$D$12:$F$12,1,D78)*INDEX('W Assumptions'!$D$33:$F$33,1,D78)</f>
        <v>168287.671232877</v>
      </c>
      <c r="J78" s="81" t="n">
        <f aca="false">H78*'W Sites'!$K$8/(1+'W Assumptions'!$D$39)*INDEX('W Assumptions'!$D$12:$F$12,1,D78)*INDEX('W Assumptions'!$D$33:$F$33,1,D78)</f>
        <v>20712.3287671233</v>
      </c>
      <c r="K78" s="81" t="n">
        <f aca="false">'W Sites'!$L$8*F78*IF(((YEAR(C78)-YEAR('W Sites'!$F$8))*12+MONTH(C78)-MONTH('W Sites'!$F$8))=0,'W Assumptions'!$D$62,IF(((YEAR(C78)-YEAR('W Sites'!$F$8))*12+MONTH(C78)-MONTH('W Sites'!$F$8))=1,'W Assumptions'!$D$63,1))*INDEX('W Assumptions'!$D$7:$F$7,1,D78)*INDEX('W Assumptions'!$D$32:$F$32,1,D78)</f>
        <v>20000</v>
      </c>
      <c r="L78" s="81" t="n">
        <f aca="false">SUM(I78:K78)</f>
        <v>209000</v>
      </c>
      <c r="M78" s="81" t="n">
        <f aca="false">'W Site Costs'!$I$8*F78*INDEX('W Assumptions'!$D$34:$F$34,1,D78)*INDEX('W Assumptions'!$D$22:$F$22,1,D78)</f>
        <v>48026</v>
      </c>
      <c r="N78" s="81" t="n">
        <f aca="false">'W Site Costs'!$J$8*F78*INDEX('W Assumptions'!$D$35:$F$35,1,D78)*INDEX('W Assumptions'!$D$22:$F$22,1,D78)</f>
        <v>35000</v>
      </c>
      <c r="O78" s="81" t="n">
        <f aca="false">L78*'W Site Costs'!$K$8</f>
        <v>0</v>
      </c>
      <c r="P78" s="81" t="n">
        <f aca="false">SUM('W Site Costs'!$L$8:$Q$8)*F78*INDEX('W Assumptions'!$D$35:$F$35,1,D78)*INDEX('W Assumptions'!$D$22:$F$22,1,D78)</f>
        <v>19500</v>
      </c>
      <c r="Q78" s="81" t="n">
        <f aca="false">L78*'W Site Costs'!$R$8*INDEX('W Assumptions'!$D$17:$F$17,1,D78)</f>
        <v>16720</v>
      </c>
      <c r="R78" s="112" t="n">
        <f aca="false">L78*'W Sites'!$M$8</f>
        <v>0</v>
      </c>
      <c r="S78" s="81" t="n">
        <f aca="false">SUM(M78:R78)</f>
        <v>119246</v>
      </c>
      <c r="T78" s="81" t="n">
        <f aca="false">L78-S78</f>
        <v>89754</v>
      </c>
      <c r="U78" s="81" t="n">
        <f aca="false">IF(C78='W Budget &amp; Owners'!$I$8,'W Budget &amp; Owners'!$F$8*'W Sites'!$G$8,0)</f>
        <v>0</v>
      </c>
      <c r="V78" s="81" t="n">
        <f aca="false">'W Sites'!$G$8*'W Budget &amp; Owners'!$E$8*INDEX('W Assumptions'!$D$27:$F$27,1,D78)*(IF(C78='W Budget &amp; Owners'!$I$8,'W Assumptions'!$D$65,0)+IF(C78=DATE(YEAR('W Sites'!$F$8),MONTH('W Sites'!$F$8),1),1-'W Assumptions'!$D$65,0))+'W Sites'!$G$8*'W Budget &amp; Owners'!$E$8*IF(C78=DATE(2027,9,1),'W Assumptions'!$D$67,IF(C78=DATE(2028,9,1),'W Assumptions'!$D$69,0))</f>
        <v>0</v>
      </c>
      <c r="W78" s="81" t="n">
        <f aca="false">IF(((YEAR(C78)-YEAR('W Sites'!$F$8))*12+MONTH(C78)-MONTH('W Sites'!$F$8))&lt;'W Budget &amp; Owners'!$H$8,'W Budget &amp; Owners'!$E$8/'W Budget &amp; Owners'!$H$8*F78,0)+IF(C78&gt;=DATE(2027,9,1),'W Budget &amp; Owners'!$E$8*'W Assumptions'!$D$67/'W Budget &amp; Owners'!$H$8*F78,0)+IF(C78&gt;=DATE(2028,9,1),'W Budget &amp; Owners'!$E$8*'W Assumptions'!$D$69/'W Budget &amp; Owners'!$H$8*F78,0)</f>
        <v>10000</v>
      </c>
      <c r="X78" s="81" t="n">
        <f aca="false">IF(C78='W Budget &amp; Owners'!$I$8,'W Budget &amp; Owners'!$G$8*'W Sites'!$G$8,0)</f>
        <v>0</v>
      </c>
      <c r="Y78" s="112" t="n">
        <f aca="false">IF(SUM($G$76:$G$85)=0,0,'W Fees &amp; KPI'!$Q$13*G78/SUM($G$76:$G$85))</f>
        <v>3378.45045289855</v>
      </c>
      <c r="Z78" s="119" t="n">
        <f aca="false">IF(SUM($G$76:$G$85)=0,0,SUM('W Fees &amp; KPI'!$J$13,'W Fees &amp; KPI'!$M$13)*G78/SUM($G$76:$G$85))</f>
        <v>4086.25</v>
      </c>
      <c r="AA78" s="117" t="n">
        <f aca="false">T78-U78-Z78-Y78</f>
        <v>82289.2995471015</v>
      </c>
      <c r="AB78" s="119" t="n">
        <f aca="false">IF('W Fees &amp; KPI'!$D$13=0,0,T78-U78-Z78)</f>
        <v>85667.75</v>
      </c>
    </row>
    <row r="79" customFormat="false" ht="21" hidden="false" customHeight="true" outlineLevel="0" collapsed="false">
      <c r="C79" s="144" t="n">
        <f aca="false">46478</f>
        <v>46478</v>
      </c>
      <c r="D79" s="81" t="n">
        <f aca="false">1</f>
        <v>1</v>
      </c>
      <c r="E79" s="81" t="str">
        <f aca="false">'W Sites'!C9</f>
        <v>S04</v>
      </c>
      <c r="F79" s="145" t="n">
        <f aca="false">'W Sites'!$G$9*MAX(0,EOMONTH(C79,0)-MAX(C79,'W Sites'!$F$9)+1)/DAY(EOMONTH(C79,0))</f>
        <v>1</v>
      </c>
      <c r="G79" s="145" t="n">
        <f aca="false">'W Sites'!$G$9*MAX(0,EOMONTH(C79,0)-MAX(C79,'W Sites'!$F$9,'W Assumptions'!$D$58)+1)/DAY(EOMONTH(C79,0))</f>
        <v>1</v>
      </c>
      <c r="H79" s="81" t="n">
        <f aca="false">'W Sites'!$H$9*F79*'W Sites'!$I$9*IF(((YEAR(C79)-YEAR('W Sites'!$F$9))*12+MONTH(C79)-MONTH('W Sites'!$F$9))=0,'W Assumptions'!$D$62,IF(((YEAR(C79)-YEAR('W Sites'!$F$9))*12+MONTH(C79)-MONTH('W Sites'!$F$9))=1,'W Assumptions'!$D$63,1))*INDEX('W Assumptions'!$D$7:$F$7,1,D79)*INDEX('W Assumptions'!$D$32:$F$32,1,D79)*INDEX('W Assumptions'!$D$80:$D$91,MONTH(C79),1)/AVERAGE('W Assumptions'!$D$80:$D$91)</f>
        <v>2096.35416666667</v>
      </c>
      <c r="I79" s="81" t="n">
        <f aca="false">H79*'W Sites'!$J$9/(1+'W Assumptions'!$D$39)*INDEX('W Assumptions'!$D$12:$F$12,1,D79)*INDEX('W Assumptions'!$D$33:$F$33,1,D79)</f>
        <v>118489.583333333</v>
      </c>
      <c r="J79" s="81" t="n">
        <f aca="false">H79*'W Sites'!$K$9/(1+'W Assumptions'!$D$39)*INDEX('W Assumptions'!$D$12:$F$12,1,D79)*INDEX('W Assumptions'!$D$33:$F$33,1,D79)</f>
        <v>12760.4166666667</v>
      </c>
      <c r="K79" s="81" t="n">
        <f aca="false">'W Sites'!$L$9*F79*IF(((YEAR(C79)-YEAR('W Sites'!$F$9))*12+MONTH(C79)-MONTH('W Sites'!$F$9))=0,'W Assumptions'!$D$62,IF(((YEAR(C79)-YEAR('W Sites'!$F$9))*12+MONTH(C79)-MONTH('W Sites'!$F$9))=1,'W Assumptions'!$D$63,1))*INDEX('W Assumptions'!$D$7:$F$7,1,D79)*INDEX('W Assumptions'!$D$32:$F$32,1,D79)</f>
        <v>15000</v>
      </c>
      <c r="L79" s="81" t="n">
        <f aca="false">SUM(I79:K79)</f>
        <v>146250</v>
      </c>
      <c r="M79" s="81" t="n">
        <f aca="false">'W Site Costs'!$I$9*F79*INDEX('W Assumptions'!$D$34:$F$34,1,D79)*INDEX('W Assumptions'!$D$22:$F$22,1,D79)</f>
        <v>37760</v>
      </c>
      <c r="N79" s="81" t="n">
        <f aca="false">'W Site Costs'!$J$9*F79*INDEX('W Assumptions'!$D$35:$F$35,1,D79)*INDEX('W Assumptions'!$D$22:$F$22,1,D79)</f>
        <v>22000</v>
      </c>
      <c r="O79" s="81" t="n">
        <f aca="false">L79*'W Site Costs'!$K$9</f>
        <v>0</v>
      </c>
      <c r="P79" s="81" t="n">
        <f aca="false">SUM('W Site Costs'!$L$9:$Q$9)*F79*INDEX('W Assumptions'!$D$35:$F$35,1,D79)*INDEX('W Assumptions'!$D$22:$F$22,1,D79)</f>
        <v>15500</v>
      </c>
      <c r="Q79" s="81" t="n">
        <f aca="false">L79*'W Site Costs'!$R$9*INDEX('W Assumptions'!$D$17:$F$17,1,D79)</f>
        <v>11700</v>
      </c>
      <c r="R79" s="112" t="n">
        <f aca="false">L79*'W Sites'!$M$9</f>
        <v>0</v>
      </c>
      <c r="S79" s="81" t="n">
        <f aca="false">SUM(M79:R79)</f>
        <v>86960</v>
      </c>
      <c r="T79" s="81" t="n">
        <f aca="false">L79-S79</f>
        <v>59290</v>
      </c>
      <c r="U79" s="81" t="n">
        <f aca="false">IF(C79='W Budget &amp; Owners'!$I$9,'W Budget &amp; Owners'!$F$9*'W Sites'!$G$9,0)</f>
        <v>0</v>
      </c>
      <c r="V79" s="81" t="n">
        <f aca="false">'W Sites'!$G$9*'W Budget &amp; Owners'!$E$9*INDEX('W Assumptions'!$D$27:$F$27,1,D79)*(IF(C79='W Budget &amp; Owners'!$I$9,'W Assumptions'!$D$65,0)+IF(C79=DATE(YEAR('W Sites'!$F$9),MONTH('W Sites'!$F$9),1),1-'W Assumptions'!$D$65,0))+'W Sites'!$G$9*'W Budget &amp; Owners'!$E$9*IF(C79=DATE(2027,9,1),'W Assumptions'!$D$67,IF(C79=DATE(2028,9,1),'W Assumptions'!$D$69,0))</f>
        <v>0</v>
      </c>
      <c r="W79" s="81" t="n">
        <f aca="false">IF(((YEAR(C79)-YEAR('W Sites'!$F$9))*12+MONTH(C79)-MONTH('W Sites'!$F$9))&lt;'W Budget &amp; Owners'!$H$9,'W Budget &amp; Owners'!$E$9/'W Budget &amp; Owners'!$H$9*F79,0)+IF(C79&gt;=DATE(2027,9,1),'W Budget &amp; Owners'!$E$9*'W Assumptions'!$D$67/'W Budget &amp; Owners'!$H$9*F79,0)+IF(C79&gt;=DATE(2028,9,1),'W Budget &amp; Owners'!$E$9*'W Assumptions'!$D$69/'W Budget &amp; Owners'!$H$9*F79,0)</f>
        <v>8333.33333333333</v>
      </c>
      <c r="X79" s="81" t="n">
        <f aca="false">IF(C79='W Budget &amp; Owners'!$I$9,'W Budget &amp; Owners'!$G$9*'W Sites'!$G$9,0)</f>
        <v>0</v>
      </c>
      <c r="Y79" s="112" t="n">
        <f aca="false">IF(SUM($G$76:$G$85)=0,0,'W Fees &amp; KPI'!$Q$13*G79/SUM($G$76:$G$85))</f>
        <v>3378.45045289855</v>
      </c>
      <c r="Z79" s="119" t="n">
        <f aca="false">IF(SUM($G$76:$G$85)=0,0,SUM('W Fees &amp; KPI'!$J$13,'W Fees &amp; KPI'!$M$13)*G79/SUM($G$76:$G$85))</f>
        <v>4086.25</v>
      </c>
      <c r="AA79" s="117" t="n">
        <f aca="false">T79-U79-Z79-Y79</f>
        <v>51825.2995471015</v>
      </c>
      <c r="AB79" s="119" t="n">
        <f aca="false">IF('W Fees &amp; KPI'!$D$13=0,0,T79-U79-Z79)</f>
        <v>55203.75</v>
      </c>
    </row>
    <row r="80" customFormat="false" ht="21" hidden="false" customHeight="true" outlineLevel="0" collapsed="false">
      <c r="C80" s="144" t="n">
        <f aca="false">46478</f>
        <v>46478</v>
      </c>
      <c r="D80" s="81" t="n">
        <f aca="false">1</f>
        <v>1</v>
      </c>
      <c r="E80" s="81" t="str">
        <f aca="false">'W Sites'!C10</f>
        <v>S05</v>
      </c>
      <c r="F80" s="145" t="n">
        <f aca="false">'W Sites'!$G$10*MAX(0,EOMONTH(C80,0)-MAX(C80,'W Sites'!$F$10)+1)/DAY(EOMONTH(C80,0))</f>
        <v>1</v>
      </c>
      <c r="G80" s="145" t="n">
        <f aca="false">'W Sites'!$G$10*MAX(0,EOMONTH(C80,0)-MAX(C80,'W Sites'!$F$10,'W Assumptions'!$D$58)+1)/DAY(EOMONTH(C80,0))</f>
        <v>1</v>
      </c>
      <c r="H80" s="81" t="n">
        <f aca="false">'W Sites'!$H$10*F80*'W Sites'!$I$10*IF(((YEAR(C80)-YEAR('W Sites'!$F$10))*12+MONTH(C80)-MONTH('W Sites'!$F$10))=0,'W Assumptions'!$D$62,IF(((YEAR(C80)-YEAR('W Sites'!$F$10))*12+MONTH(C80)-MONTH('W Sites'!$F$10))=1,'W Assumptions'!$D$63,1))*INDEX('W Assumptions'!$D$7:$F$7,1,D80)*INDEX('W Assumptions'!$D$32:$F$32,1,D80)*INDEX('W Assumptions'!$D$80:$D$91,MONTH(C80),1)/AVERAGE('W Assumptions'!$D$80:$D$91)</f>
        <v>2679.65753424658</v>
      </c>
      <c r="I80" s="81" t="n">
        <f aca="false">H80*'W Sites'!$J$10/(1+'W Assumptions'!$D$39)*INDEX('W Assumptions'!$D$12:$F$12,1,D80)*INDEX('W Assumptions'!$D$33:$F$33,1,D80)</f>
        <v>151458.904109589</v>
      </c>
      <c r="J80" s="81" t="n">
        <f aca="false">H80*'W Sites'!$K$10/(1+'W Assumptions'!$D$39)*INDEX('W Assumptions'!$D$12:$F$12,1,D80)*INDEX('W Assumptions'!$D$33:$F$33,1,D80)</f>
        <v>18641.095890411</v>
      </c>
      <c r="K80" s="81" t="n">
        <f aca="false">'W Sites'!$L$10*F80*IF(((YEAR(C80)-YEAR('W Sites'!$F$10))*12+MONTH(C80)-MONTH('W Sites'!$F$10))=0,'W Assumptions'!$D$62,IF(((YEAR(C80)-YEAR('W Sites'!$F$10))*12+MONTH(C80)-MONTH('W Sites'!$F$10))=1,'W Assumptions'!$D$63,1))*INDEX('W Assumptions'!$D$7:$F$7,1,D80)*INDEX('W Assumptions'!$D$32:$F$32,1,D80)</f>
        <v>18000</v>
      </c>
      <c r="L80" s="81" t="n">
        <f aca="false">SUM(I80:K80)</f>
        <v>188100</v>
      </c>
      <c r="M80" s="81" t="n">
        <f aca="false">'W Site Costs'!$I$10*F80*INDEX('W Assumptions'!$D$34:$F$34,1,D80)*INDEX('W Assumptions'!$D$22:$F$22,1,D80)</f>
        <v>48026</v>
      </c>
      <c r="N80" s="81" t="n">
        <f aca="false">'W Site Costs'!$J$10*F80*INDEX('W Assumptions'!$D$35:$F$35,1,D80)*INDEX('W Assumptions'!$D$22:$F$22,1,D80)</f>
        <v>30000</v>
      </c>
      <c r="O80" s="81" t="n">
        <f aca="false">L80*'W Site Costs'!$K$10</f>
        <v>0</v>
      </c>
      <c r="P80" s="81" t="n">
        <f aca="false">SUM('W Site Costs'!$L$10:$Q$10)*F80*INDEX('W Assumptions'!$D$35:$F$35,1,D80)*INDEX('W Assumptions'!$D$22:$F$22,1,D80)</f>
        <v>19000</v>
      </c>
      <c r="Q80" s="81" t="n">
        <f aca="false">L80*'W Site Costs'!$R$10*INDEX('W Assumptions'!$D$17:$F$17,1,D80)</f>
        <v>15048</v>
      </c>
      <c r="R80" s="112" t="n">
        <f aca="false">L80*'W Sites'!$M$10</f>
        <v>0</v>
      </c>
      <c r="S80" s="81" t="n">
        <f aca="false">SUM(M80:R80)</f>
        <v>112074</v>
      </c>
      <c r="T80" s="81" t="n">
        <f aca="false">L80-S80</f>
        <v>76026</v>
      </c>
      <c r="U80" s="81" t="n">
        <f aca="false">IF(C80='W Budget &amp; Owners'!$I$10,'W Budget &amp; Owners'!$F$10*'W Sites'!$G$10,0)</f>
        <v>0</v>
      </c>
      <c r="V80" s="81" t="n">
        <f aca="false">'W Sites'!$G$10*'W Budget &amp; Owners'!$E$10*INDEX('W Assumptions'!$D$27:$F$27,1,D80)*(IF(C80='W Budget &amp; Owners'!$I$10,'W Assumptions'!$D$65,0)+IF(C80=DATE(YEAR('W Sites'!$F$10),MONTH('W Sites'!$F$10),1),1-'W Assumptions'!$D$65,0))+'W Sites'!$G$10*'W Budget &amp; Owners'!$E$10*IF(C80=DATE(2027,9,1),'W Assumptions'!$D$67,IF(C80=DATE(2028,9,1),'W Assumptions'!$D$69,0))</f>
        <v>0</v>
      </c>
      <c r="W80" s="81" t="n">
        <f aca="false">IF(((YEAR(C80)-YEAR('W Sites'!$F$10))*12+MONTH(C80)-MONTH('W Sites'!$F$10))&lt;'W Budget &amp; Owners'!$H$10,'W Budget &amp; Owners'!$E$10/'W Budget &amp; Owners'!$H$10*F80,0)+IF(C80&gt;=DATE(2027,9,1),'W Budget &amp; Owners'!$E$10*'W Assumptions'!$D$67/'W Budget &amp; Owners'!$H$10*F80,0)+IF(C80&gt;=DATE(2028,9,1),'W Budget &amp; Owners'!$E$10*'W Assumptions'!$D$69/'W Budget &amp; Owners'!$H$10*F80,0)</f>
        <v>12500</v>
      </c>
      <c r="X80" s="81" t="n">
        <f aca="false">IF(C80='W Budget &amp; Owners'!$I$10,'W Budget &amp; Owners'!$G$10*'W Sites'!$G$10,0)</f>
        <v>0</v>
      </c>
      <c r="Y80" s="112" t="n">
        <f aca="false">IF(SUM($G$76:$G$85)=0,0,'W Fees &amp; KPI'!$Q$13*G80/SUM($G$76:$G$85))</f>
        <v>3378.45045289855</v>
      </c>
      <c r="Z80" s="119" t="n">
        <f aca="false">IF(SUM($G$76:$G$85)=0,0,SUM('W Fees &amp; KPI'!$J$13,'W Fees &amp; KPI'!$M$13)*G80/SUM($G$76:$G$85))</f>
        <v>4086.25</v>
      </c>
      <c r="AA80" s="117" t="n">
        <f aca="false">T80-U80-Z80-Y80</f>
        <v>68561.2995471015</v>
      </c>
      <c r="AB80" s="119" t="n">
        <f aca="false">IF('W Fees &amp; KPI'!$D$13=0,0,T80-U80-Z80)</f>
        <v>71939.75</v>
      </c>
    </row>
    <row r="81" customFormat="false" ht="21" hidden="false" customHeight="true" outlineLevel="0" collapsed="false">
      <c r="C81" s="144" t="n">
        <f aca="false">46478</f>
        <v>46478</v>
      </c>
      <c r="D81" s="81" t="n">
        <f aca="false">1</f>
        <v>1</v>
      </c>
      <c r="E81" s="81" t="str">
        <f aca="false">'W Sites'!C11</f>
        <v>S06</v>
      </c>
      <c r="F81" s="145" t="n">
        <f aca="false">'W Sites'!$G$11*MAX(0,EOMONTH(C81,0)-MAX(C81,'W Sites'!$F$11)+1)/DAY(EOMONTH(C81,0))</f>
        <v>1</v>
      </c>
      <c r="G81" s="145" t="n">
        <f aca="false">'W Sites'!$G$11*MAX(0,EOMONTH(C81,0)-MAX(C81,'W Sites'!$F$11,'W Assumptions'!$D$58)+1)/DAY(EOMONTH(C81,0))</f>
        <v>1</v>
      </c>
      <c r="H81" s="81" t="n">
        <f aca="false">'W Sites'!$H$11*F81*'W Sites'!$I$11*IF(((YEAR(C81)-YEAR('W Sites'!$F$11))*12+MONTH(C81)-MONTH('W Sites'!$F$11))=0,'W Assumptions'!$D$62,IF(((YEAR(C81)-YEAR('W Sites'!$F$11))*12+MONTH(C81)-MONTH('W Sites'!$F$11))=1,'W Assumptions'!$D$63,1))*INDEX('W Assumptions'!$D$7:$F$7,1,D81)*INDEX('W Assumptions'!$D$32:$F$32,1,D81)*INDEX('W Assumptions'!$D$80:$D$91,MONTH(C81),1)/AVERAGE('W Assumptions'!$D$80:$D$91)</f>
        <v>819</v>
      </c>
      <c r="I81" s="81" t="n">
        <f aca="false">H81*'W Sites'!$J$11/(1+'W Assumptions'!$D$39)*INDEX('W Assumptions'!$D$12:$F$12,1,D81)*INDEX('W Assumptions'!$D$33:$F$33,1,D81)</f>
        <v>42730.4347826087</v>
      </c>
      <c r="J81" s="81" t="n">
        <f aca="false">H81*'W Sites'!$K$11/(1+'W Assumptions'!$D$39)*INDEX('W Assumptions'!$D$12:$F$12,1,D81)*INDEX('W Assumptions'!$D$33:$F$33,1,D81)</f>
        <v>2136.52173913044</v>
      </c>
      <c r="K81" s="81" t="n">
        <f aca="false">'W Sites'!$L$11*F81*IF(((YEAR(C81)-YEAR('W Sites'!$F$11))*12+MONTH(C81)-MONTH('W Sites'!$F$11))=0,'W Assumptions'!$D$62,IF(((YEAR(C81)-YEAR('W Sites'!$F$11))*12+MONTH(C81)-MONTH('W Sites'!$F$11))=1,'W Assumptions'!$D$63,1))*INDEX('W Assumptions'!$D$7:$F$7,1,D81)*INDEX('W Assumptions'!$D$32:$F$32,1,D81)</f>
        <v>20000</v>
      </c>
      <c r="L81" s="81" t="n">
        <f aca="false">SUM(I81:K81)</f>
        <v>64866.9565217391</v>
      </c>
      <c r="M81" s="81" t="n">
        <f aca="false">'W Site Costs'!$I$11*F81*INDEX('W Assumptions'!$D$34:$F$34,1,D81)*INDEX('W Assumptions'!$D$22:$F$22,1,D81)</f>
        <v>23836</v>
      </c>
      <c r="N81" s="81" t="n">
        <f aca="false">'W Site Costs'!$J$11*F81*INDEX('W Assumptions'!$D$35:$F$35,1,D81)*INDEX('W Assumptions'!$D$22:$F$22,1,D81)</f>
        <v>5000</v>
      </c>
      <c r="O81" s="81" t="n">
        <f aca="false">L81*'W Site Costs'!$K$11</f>
        <v>0</v>
      </c>
      <c r="P81" s="81" t="n">
        <f aca="false">SUM('W Site Costs'!$L$11:$Q$11)*F81*INDEX('W Assumptions'!$D$35:$F$35,1,D81)*INDEX('W Assumptions'!$D$22:$F$22,1,D81)</f>
        <v>8000</v>
      </c>
      <c r="Q81" s="81" t="n">
        <f aca="false">L81*'W Site Costs'!$R$11*INDEX('W Assumptions'!$D$17:$F$17,1,D81)</f>
        <v>6486.69565217391</v>
      </c>
      <c r="R81" s="112" t="n">
        <f aca="false">L81*'W Sites'!$M$11</f>
        <v>0</v>
      </c>
      <c r="S81" s="81" t="n">
        <f aca="false">SUM(M81:R81)</f>
        <v>43322.6956521739</v>
      </c>
      <c r="T81" s="81" t="n">
        <f aca="false">L81-S81</f>
        <v>21544.2608695652</v>
      </c>
      <c r="U81" s="81" t="n">
        <f aca="false">IF(C81='W Budget &amp; Owners'!$I$11,'W Budget &amp; Owners'!$F$11*'W Sites'!$G$11,0)</f>
        <v>0</v>
      </c>
      <c r="V81" s="81" t="n">
        <f aca="false">'W Sites'!$G$11*'W Budget &amp; Owners'!$E$11*INDEX('W Assumptions'!$D$27:$F$27,1,D81)*(IF(C81='W Budget &amp; Owners'!$I$11,'W Assumptions'!$D$65,0)+IF(C81=DATE(YEAR('W Sites'!$F$11),MONTH('W Sites'!$F$11),1),1-'W Assumptions'!$D$65,0))+'W Sites'!$G$11*'W Budget &amp; Owners'!$E$11*IF(C81=DATE(2027,9,1),'W Assumptions'!$D$67,IF(C81=DATE(2028,9,1),'W Assumptions'!$D$69,0))</f>
        <v>0</v>
      </c>
      <c r="W81" s="81" t="n">
        <f aca="false">IF(((YEAR(C81)-YEAR('W Sites'!$F$11))*12+MONTH(C81)-MONTH('W Sites'!$F$11))&lt;'W Budget &amp; Owners'!$H$11,'W Budget &amp; Owners'!$E$11/'W Budget &amp; Owners'!$H$11*F81,0)+IF(C81&gt;=DATE(2027,9,1),'W Budget &amp; Owners'!$E$11*'W Assumptions'!$D$67/'W Budget &amp; Owners'!$H$11*F81,0)+IF(C81&gt;=DATE(2028,9,1),'W Budget &amp; Owners'!$E$11*'W Assumptions'!$D$69/'W Budget &amp; Owners'!$H$11*F81,0)</f>
        <v>2500</v>
      </c>
      <c r="X81" s="81" t="n">
        <f aca="false">IF(C81='W Budget &amp; Owners'!$I$11,'W Budget &amp; Owners'!$G$11*'W Sites'!$G$11,0)</f>
        <v>0</v>
      </c>
      <c r="Y81" s="112" t="n">
        <f aca="false">IF(SUM($G$76:$G$85)=0,0,'W Fees &amp; KPI'!$Q$13*G81/SUM($G$76:$G$85))</f>
        <v>3378.45045289855</v>
      </c>
      <c r="Z81" s="119" t="n">
        <f aca="false">IF(SUM($G$76:$G$85)=0,0,SUM('W Fees &amp; KPI'!$J$13,'W Fees &amp; KPI'!$M$13)*G81/SUM($G$76:$G$85))</f>
        <v>4086.25</v>
      </c>
      <c r="AA81" s="117" t="n">
        <f aca="false">T81-U81-Z81-Y81</f>
        <v>14079.5604166667</v>
      </c>
      <c r="AB81" s="119" t="n">
        <f aca="false">IF('W Fees &amp; KPI'!$D$13=0,0,T81-U81-Z81)</f>
        <v>17458.0108695652</v>
      </c>
    </row>
    <row r="82" customFormat="false" ht="21" hidden="false" customHeight="true" outlineLevel="0" collapsed="false">
      <c r="C82" s="144" t="n">
        <f aca="false">46478</f>
        <v>46478</v>
      </c>
      <c r="D82" s="81" t="n">
        <f aca="false">1</f>
        <v>1</v>
      </c>
      <c r="E82" s="81" t="str">
        <f aca="false">'W Sites'!C12</f>
        <v>S07</v>
      </c>
      <c r="F82" s="145" t="n">
        <f aca="false">'W Sites'!$G$12*MAX(0,EOMONTH(C82,0)-MAX(C82,'W Sites'!$F$12)+1)/DAY(EOMONTH(C82,0))</f>
        <v>1</v>
      </c>
      <c r="G82" s="145" t="n">
        <f aca="false">'W Sites'!$G$12*MAX(0,EOMONTH(C82,0)-MAX(C82,'W Sites'!$F$12,'W Assumptions'!$D$58)+1)/DAY(EOMONTH(C82,0))</f>
        <v>1</v>
      </c>
      <c r="H82" s="81" t="n">
        <f aca="false">'W Sites'!$H$12*F82*'W Sites'!$I$12*IF(((YEAR(C82)-YEAR('W Sites'!$F$12))*12+MONTH(C82)-MONTH('W Sites'!$F$12))=0,'W Assumptions'!$D$62,IF(((YEAR(C82)-YEAR('W Sites'!$F$12))*12+MONTH(C82)-MONTH('W Sites'!$F$12))=1,'W Assumptions'!$D$63,1))*INDEX('W Assumptions'!$D$7:$F$7,1,D82)*INDEX('W Assumptions'!$D$32:$F$32,1,D82)*INDEX('W Assumptions'!$D$80:$D$91,MONTH(C82),1)/AVERAGE('W Assumptions'!$D$80:$D$91)</f>
        <v>955.5</v>
      </c>
      <c r="I82" s="81" t="n">
        <f aca="false">H82*'W Sites'!$J$12/(1+'W Assumptions'!$D$39)*INDEX('W Assumptions'!$D$12:$F$12,1,D82)*INDEX('W Assumptions'!$D$33:$F$33,1,D82)</f>
        <v>49852.1739130435</v>
      </c>
      <c r="J82" s="81" t="n">
        <f aca="false">H82*'W Sites'!$K$12/(1+'W Assumptions'!$D$39)*INDEX('W Assumptions'!$D$12:$F$12,1,D82)*INDEX('W Assumptions'!$D$33:$F$33,1,D82)</f>
        <v>2492.60869565217</v>
      </c>
      <c r="K82" s="81" t="n">
        <f aca="false">'W Sites'!$L$12*F82*IF(((YEAR(C82)-YEAR('W Sites'!$F$12))*12+MONTH(C82)-MONTH('W Sites'!$F$12))=0,'W Assumptions'!$D$62,IF(((YEAR(C82)-YEAR('W Sites'!$F$12))*12+MONTH(C82)-MONTH('W Sites'!$F$12))=1,'W Assumptions'!$D$63,1))*INDEX('W Assumptions'!$D$7:$F$7,1,D82)*INDEX('W Assumptions'!$D$32:$F$32,1,D82)</f>
        <v>18000</v>
      </c>
      <c r="L82" s="81" t="n">
        <f aca="false">SUM(I82:K82)</f>
        <v>70344.7826086957</v>
      </c>
      <c r="M82" s="81" t="n">
        <f aca="false">'W Site Costs'!$I$12*F82*INDEX('W Assumptions'!$D$34:$F$34,1,D82)*INDEX('W Assumptions'!$D$22:$F$22,1,D82)</f>
        <v>23836</v>
      </c>
      <c r="N82" s="81" t="n">
        <f aca="false">'W Site Costs'!$J$12*F82*INDEX('W Assumptions'!$D$35:$F$35,1,D82)*INDEX('W Assumptions'!$D$22:$F$22,1,D82)</f>
        <v>8000</v>
      </c>
      <c r="O82" s="81" t="n">
        <f aca="false">L82*'W Site Costs'!$K$12</f>
        <v>0</v>
      </c>
      <c r="P82" s="81" t="n">
        <f aca="false">SUM('W Site Costs'!$L$12:$Q$12)*F82*INDEX('W Assumptions'!$D$35:$F$35,1,D82)*INDEX('W Assumptions'!$D$22:$F$22,1,D82)</f>
        <v>8500</v>
      </c>
      <c r="Q82" s="81" t="n">
        <f aca="false">L82*'W Site Costs'!$R$12*INDEX('W Assumptions'!$D$17:$F$17,1,D82)</f>
        <v>7034.47826086957</v>
      </c>
      <c r="R82" s="112" t="n">
        <f aca="false">L82*'W Sites'!$M$12</f>
        <v>0</v>
      </c>
      <c r="S82" s="81" t="n">
        <f aca="false">SUM(M82:R82)</f>
        <v>47370.4782608696</v>
      </c>
      <c r="T82" s="81" t="n">
        <f aca="false">L82-S82</f>
        <v>22974.3043478261</v>
      </c>
      <c r="U82" s="81" t="n">
        <f aca="false">IF(C82='W Budget &amp; Owners'!$I$12,'W Budget &amp; Owners'!$F$12*'W Sites'!$G$12,0)</f>
        <v>0</v>
      </c>
      <c r="V82" s="81" t="n">
        <f aca="false">'W Sites'!$G$12*'W Budget &amp; Owners'!$E$12*INDEX('W Assumptions'!$D$27:$F$27,1,D82)*(IF(C82='W Budget &amp; Owners'!$I$12,'W Assumptions'!$D$65,0)+IF(C82=DATE(YEAR('W Sites'!$F$12),MONTH('W Sites'!$F$12),1),1-'W Assumptions'!$D$65,0))+'W Sites'!$G$12*'W Budget &amp; Owners'!$E$12*IF(C82=DATE(2027,9,1),'W Assumptions'!$D$67,IF(C82=DATE(2028,9,1),'W Assumptions'!$D$69,0))</f>
        <v>0</v>
      </c>
      <c r="W82" s="81" t="n">
        <f aca="false">IF(((YEAR(C82)-YEAR('W Sites'!$F$12))*12+MONTH(C82)-MONTH('W Sites'!$F$12))&lt;'W Budget &amp; Owners'!$H$12,'W Budget &amp; Owners'!$E$12/'W Budget &amp; Owners'!$H$12*F82,0)+IF(C82&gt;=DATE(2027,9,1),'W Budget &amp; Owners'!$E$12*'W Assumptions'!$D$67/'W Budget &amp; Owners'!$H$12*F82,0)+IF(C82&gt;=DATE(2028,9,1),'W Budget &amp; Owners'!$E$12*'W Assumptions'!$D$69/'W Budget &amp; Owners'!$H$12*F82,0)</f>
        <v>7500</v>
      </c>
      <c r="X82" s="81" t="n">
        <f aca="false">IF(C82='W Budget &amp; Owners'!$I$12,'W Budget &amp; Owners'!$G$12*'W Sites'!$G$12,0)</f>
        <v>0</v>
      </c>
      <c r="Y82" s="112" t="n">
        <f aca="false">IF(SUM($G$76:$G$85)=0,0,'W Fees &amp; KPI'!$Q$13*G82/SUM($G$76:$G$85))</f>
        <v>3378.45045289855</v>
      </c>
      <c r="Z82" s="119" t="n">
        <f aca="false">IF(SUM($G$76:$G$85)=0,0,SUM('W Fees &amp; KPI'!$J$13,'W Fees &amp; KPI'!$M$13)*G82/SUM($G$76:$G$85))</f>
        <v>4086.25</v>
      </c>
      <c r="AA82" s="117" t="n">
        <f aca="false">T82-U82-Z82-Y82</f>
        <v>15509.6038949275</v>
      </c>
      <c r="AB82" s="119" t="n">
        <f aca="false">IF('W Fees &amp; KPI'!$D$13=0,0,T82-U82-Z82)</f>
        <v>18888.0543478261</v>
      </c>
    </row>
    <row r="83" customFormat="false" ht="21" hidden="false" customHeight="true" outlineLevel="0" collapsed="false">
      <c r="C83" s="144" t="n">
        <f aca="false">46478</f>
        <v>46478</v>
      </c>
      <c r="D83" s="81" t="n">
        <f aca="false">1</f>
        <v>1</v>
      </c>
      <c r="E83" s="81" t="str">
        <f aca="false">'W Sites'!C13</f>
        <v>S08</v>
      </c>
      <c r="F83" s="145" t="n">
        <f aca="false">'W Sites'!$G$13*MAX(0,EOMONTH(C83,0)-MAX(C83,'W Sites'!$F$13)+1)/DAY(EOMONTH(C83,0))</f>
        <v>1</v>
      </c>
      <c r="G83" s="145" t="n">
        <f aca="false">'W Sites'!$G$13*MAX(0,EOMONTH(C83,0)-MAX(C83,'W Sites'!$F$13,'W Assumptions'!$D$58)+1)/DAY(EOMONTH(C83,0))</f>
        <v>1</v>
      </c>
      <c r="H83" s="81" t="n">
        <f aca="false">'W Sites'!$H$13*F83*'W Sites'!$I$13*IF(((YEAR(C83)-YEAR('W Sites'!$F$13))*12+MONTH(C83)-MONTH('W Sites'!$F$13))=0,'W Assumptions'!$D$62,IF(((YEAR(C83)-YEAR('W Sites'!$F$13))*12+MONTH(C83)-MONTH('W Sites'!$F$13))=1,'W Assumptions'!$D$63,1))*INDEX('W Assumptions'!$D$7:$F$7,1,D83)*INDEX('W Assumptions'!$D$32:$F$32,1,D83)*INDEX('W Assumptions'!$D$80:$D$91,MONTH(C83),1)/AVERAGE('W Assumptions'!$D$80:$D$91)</f>
        <v>4095</v>
      </c>
      <c r="I83" s="81" t="n">
        <f aca="false">H83*'W Sites'!$J$13/(1+'W Assumptions'!$D$39)*INDEX('W Assumptions'!$D$12:$F$12,1,D83)*INDEX('W Assumptions'!$D$33:$F$33,1,D83)</f>
        <v>142434.782608696</v>
      </c>
      <c r="J83" s="81" t="n">
        <f aca="false">H83*'W Sites'!$K$13/(1+'W Assumptions'!$D$39)*INDEX('W Assumptions'!$D$12:$F$12,1,D83)*INDEX('W Assumptions'!$D$33:$F$33,1,D83)</f>
        <v>17804.347826087</v>
      </c>
      <c r="K83" s="81" t="n">
        <f aca="false">'W Sites'!$L$13*F83*IF(((YEAR(C83)-YEAR('W Sites'!$F$13))*12+MONTH(C83)-MONTH('W Sites'!$F$13))=0,'W Assumptions'!$D$62,IF(((YEAR(C83)-YEAR('W Sites'!$F$13))*12+MONTH(C83)-MONTH('W Sites'!$F$13))=1,'W Assumptions'!$D$63,1))*INDEX('W Assumptions'!$D$7:$F$7,1,D83)*INDEX('W Assumptions'!$D$32:$F$32,1,D83)</f>
        <v>15000</v>
      </c>
      <c r="L83" s="81" t="n">
        <f aca="false">SUM(I83:K83)</f>
        <v>175239.130434783</v>
      </c>
      <c r="M83" s="81" t="n">
        <f aca="false">'W Site Costs'!$I$13*F83*INDEX('W Assumptions'!$D$34:$F$34,1,D83)*INDEX('W Assumptions'!$D$22:$F$22,1,D83)</f>
        <v>53336</v>
      </c>
      <c r="N83" s="81" t="n">
        <f aca="false">'W Site Costs'!$J$13*F83*INDEX('W Assumptions'!$D$35:$F$35,1,D83)*INDEX('W Assumptions'!$D$22:$F$22,1,D83)</f>
        <v>0</v>
      </c>
      <c r="O83" s="81" t="n">
        <f aca="false">L83*'W Site Costs'!$K$13</f>
        <v>17523.9130434783</v>
      </c>
      <c r="P83" s="81" t="n">
        <f aca="false">SUM('W Site Costs'!$L$13:$Q$13)*F83*INDEX('W Assumptions'!$D$35:$F$35,1,D83)*INDEX('W Assumptions'!$D$22:$F$22,1,D83)</f>
        <v>25500</v>
      </c>
      <c r="Q83" s="81" t="n">
        <f aca="false">L83*'W Site Costs'!$R$13*INDEX('W Assumptions'!$D$17:$F$17,1,D83)</f>
        <v>14019.1304347826</v>
      </c>
      <c r="R83" s="112" t="n">
        <f aca="false">L83*'W Sites'!$M$13</f>
        <v>0</v>
      </c>
      <c r="S83" s="81" t="n">
        <f aca="false">SUM(M83:R83)</f>
        <v>110379.043478261</v>
      </c>
      <c r="T83" s="81" t="n">
        <f aca="false">L83-S83</f>
        <v>64860.0869565218</v>
      </c>
      <c r="U83" s="81" t="n">
        <f aca="false">IF(C83='W Budget &amp; Owners'!$I$13,'W Budget &amp; Owners'!$F$13*'W Sites'!$G$13,0)</f>
        <v>0</v>
      </c>
      <c r="V83" s="81" t="n">
        <f aca="false">'W Sites'!$G$13*'W Budget &amp; Owners'!$E$13*INDEX('W Assumptions'!$D$27:$F$27,1,D83)*(IF(C83='W Budget &amp; Owners'!$I$13,'W Assumptions'!$D$65,0)+IF(C83=DATE(YEAR('W Sites'!$F$13),MONTH('W Sites'!$F$13),1),1-'W Assumptions'!$D$65,0))+'W Sites'!$G$13*'W Budget &amp; Owners'!$E$13*IF(C83=DATE(2027,9,1),'W Assumptions'!$D$67,IF(C83=DATE(2028,9,1),'W Assumptions'!$D$69,0))</f>
        <v>0</v>
      </c>
      <c r="W83" s="81" t="n">
        <f aca="false">IF(((YEAR(C83)-YEAR('W Sites'!$F$13))*12+MONTH(C83)-MONTH('W Sites'!$F$13))&lt;'W Budget &amp; Owners'!$H$13,'W Budget &amp; Owners'!$E$13/'W Budget &amp; Owners'!$H$13*F83,0)+IF(C83&gt;=DATE(2027,9,1),'W Budget &amp; Owners'!$E$13*'W Assumptions'!$D$67/'W Budget &amp; Owners'!$H$13*F83,0)+IF(C83&gt;=DATE(2028,9,1),'W Budget &amp; Owners'!$E$13*'W Assumptions'!$D$69/'W Budget &amp; Owners'!$H$13*F83,0)</f>
        <v>20000</v>
      </c>
      <c r="X83" s="81" t="n">
        <f aca="false">IF(C83='W Budget &amp; Owners'!$I$13,'W Budget &amp; Owners'!$G$13*'W Sites'!$G$13,0)</f>
        <v>0</v>
      </c>
      <c r="Y83" s="112" t="n">
        <f aca="false">IF(SUM($G$76:$G$85)=0,0,'W Fees &amp; KPI'!$Q$13*G83/SUM($G$76:$G$85))</f>
        <v>3378.45045289855</v>
      </c>
      <c r="Z83" s="119" t="n">
        <f aca="false">IF(SUM($G$76:$G$85)=0,0,SUM('W Fees &amp; KPI'!$J$13,'W Fees &amp; KPI'!$M$13)*G83/SUM($G$76:$G$85))</f>
        <v>4086.25</v>
      </c>
      <c r="AA83" s="117" t="n">
        <f aca="false">T83-U83-Z83-Y83</f>
        <v>57395.3865036232</v>
      </c>
      <c r="AB83" s="119" t="n">
        <f aca="false">IF('W Fees &amp; KPI'!$D$13=0,0,T83-U83-Z83)</f>
        <v>60773.8369565218</v>
      </c>
    </row>
    <row r="84" customFormat="false" ht="21" hidden="false" customHeight="true" outlineLevel="0" collapsed="false">
      <c r="C84" s="144" t="n">
        <f aca="false">46478</f>
        <v>46478</v>
      </c>
      <c r="D84" s="81" t="n">
        <f aca="false">1</f>
        <v>1</v>
      </c>
      <c r="E84" s="81" t="str">
        <f aca="false">'W Sites'!C14</f>
        <v>S09</v>
      </c>
      <c r="F84" s="145" t="n">
        <f aca="false">'W Sites'!$G$14*MAX(0,EOMONTH(C84,0)-MAX(C84,'W Sites'!$F$14)+1)/DAY(EOMONTH(C84,0))</f>
        <v>0</v>
      </c>
      <c r="G84" s="145" t="n">
        <f aca="false">'W Sites'!$G$14*MAX(0,EOMONTH(C84,0)-MAX(C84,'W Sites'!$F$14,'W Assumptions'!$D$58)+1)/DAY(EOMONTH(C84,0))</f>
        <v>0</v>
      </c>
      <c r="H84" s="81" t="n">
        <f aca="false">'W Sites'!$H$14*F84*'W Sites'!$I$14*IF(((YEAR(C84)-YEAR('W Sites'!$F$14))*12+MONTH(C84)-MONTH('W Sites'!$F$14))=0,'W Assumptions'!$D$62,IF(((YEAR(C84)-YEAR('W Sites'!$F$14))*12+MONTH(C84)-MONTH('W Sites'!$F$14))=1,'W Assumptions'!$D$63,1))*INDEX('W Assumptions'!$D$7:$F$7,1,D84)*INDEX('W Assumptions'!$D$32:$F$32,1,D84)*INDEX('W Assumptions'!$D$80:$D$91,MONTH(C84),1)/AVERAGE('W Assumptions'!$D$80:$D$91)</f>
        <v>0</v>
      </c>
      <c r="I84" s="81" t="n">
        <f aca="false">H84*'W Sites'!$J$14/(1+'W Assumptions'!$D$39)*INDEX('W Assumptions'!$D$12:$F$12,1,D84)*INDEX('W Assumptions'!$D$33:$F$33,1,D84)</f>
        <v>0</v>
      </c>
      <c r="J84" s="81" t="n">
        <f aca="false">H84*'W Sites'!$K$14/(1+'W Assumptions'!$D$39)*INDEX('W Assumptions'!$D$12:$F$12,1,D84)*INDEX('W Assumptions'!$D$33:$F$33,1,D84)</f>
        <v>0</v>
      </c>
      <c r="K84" s="81" t="n">
        <f aca="false">'W Sites'!$L$14*F84*IF(((YEAR(C84)-YEAR('W Sites'!$F$14))*12+MONTH(C84)-MONTH('W Sites'!$F$14))=0,'W Assumptions'!$D$62,IF(((YEAR(C84)-YEAR('W Sites'!$F$14))*12+MONTH(C84)-MONTH('W Sites'!$F$14))=1,'W Assumptions'!$D$63,1))*INDEX('W Assumptions'!$D$7:$F$7,1,D84)*INDEX('W Assumptions'!$D$32:$F$32,1,D84)</f>
        <v>0</v>
      </c>
      <c r="L84" s="81" t="n">
        <f aca="false">SUM(I84:K84)</f>
        <v>0</v>
      </c>
      <c r="M84" s="81" t="n">
        <f aca="false">'W Site Costs'!$I$14*F84*INDEX('W Assumptions'!$D$34:$F$34,1,D84)*INDEX('W Assumptions'!$D$22:$F$22,1,D84)</f>
        <v>0</v>
      </c>
      <c r="N84" s="81" t="n">
        <f aca="false">'W Site Costs'!$J$14*F84*INDEX('W Assumptions'!$D$35:$F$35,1,D84)*INDEX('W Assumptions'!$D$22:$F$22,1,D84)</f>
        <v>0</v>
      </c>
      <c r="O84" s="81" t="n">
        <f aca="false">L84*'W Site Costs'!$K$14</f>
        <v>0</v>
      </c>
      <c r="P84" s="81" t="n">
        <f aca="false">SUM('W Site Costs'!$L$14:$Q$14)*F84*INDEX('W Assumptions'!$D$35:$F$35,1,D84)*INDEX('W Assumptions'!$D$22:$F$22,1,D84)</f>
        <v>0</v>
      </c>
      <c r="Q84" s="81" t="n">
        <f aca="false">L84*'W Site Costs'!$R$14*INDEX('W Assumptions'!$D$17:$F$17,1,D84)</f>
        <v>0</v>
      </c>
      <c r="R84" s="112" t="n">
        <f aca="false">L84*'W Sites'!$M$14</f>
        <v>0</v>
      </c>
      <c r="S84" s="81" t="n">
        <f aca="false">SUM(M84:R84)</f>
        <v>0</v>
      </c>
      <c r="T84" s="81" t="n">
        <f aca="false">L84-S84</f>
        <v>0</v>
      </c>
      <c r="U84" s="81" t="n">
        <f aca="false">IF(C84='W Budget &amp; Owners'!$I$14,'W Budget &amp; Owners'!$F$14*'W Sites'!$G$14,0)</f>
        <v>0</v>
      </c>
      <c r="V84" s="81" t="n">
        <f aca="false">'W Sites'!$G$14*'W Budget &amp; Owners'!$E$14*INDEX('W Assumptions'!$D$27:$F$27,1,D84)*(IF(C84='W Budget &amp; Owners'!$I$14,'W Assumptions'!$D$65,0)+IF(C84=DATE(YEAR('W Sites'!$F$14),MONTH('W Sites'!$F$14),1),1-'W Assumptions'!$D$65,0))+'W Sites'!$G$14*'W Budget &amp; Owners'!$E$14*IF(C84=DATE(2027,9,1),'W Assumptions'!$D$67,IF(C84=DATE(2028,9,1),'W Assumptions'!$D$69,0))</f>
        <v>0</v>
      </c>
      <c r="W84" s="81" t="n">
        <f aca="false">IF(((YEAR(C84)-YEAR('W Sites'!$F$14))*12+MONTH(C84)-MONTH('W Sites'!$F$14))&lt;'W Budget &amp; Owners'!$H$14,'W Budget &amp; Owners'!$E$14/'W Budget &amp; Owners'!$H$14*F84,0)+IF(C84&gt;=DATE(2027,9,1),'W Budget &amp; Owners'!$E$14*'W Assumptions'!$D$67/'W Budget &amp; Owners'!$H$14*F84,0)+IF(C84&gt;=DATE(2028,9,1),'W Budget &amp; Owners'!$E$14*'W Assumptions'!$D$69/'W Budget &amp; Owners'!$H$14*F84,0)</f>
        <v>0</v>
      </c>
      <c r="X84" s="81" t="n">
        <f aca="false">IF(C84='W Budget &amp; Owners'!$I$14,'W Budget &amp; Owners'!$G$14*'W Sites'!$G$14,0)</f>
        <v>0</v>
      </c>
      <c r="Y84" s="112" t="n">
        <f aca="false">IF(SUM($G$76:$G$85)=0,0,'W Fees &amp; KPI'!$Q$13*G84/SUM($G$76:$G$85))</f>
        <v>0</v>
      </c>
      <c r="Z84" s="119" t="n">
        <f aca="false">IF(SUM($G$76:$G$85)=0,0,SUM('W Fees &amp; KPI'!$J$13,'W Fees &amp; KPI'!$M$13)*G84/SUM($G$76:$G$85))</f>
        <v>0</v>
      </c>
      <c r="AA84" s="117" t="n">
        <f aca="false">T84-U84-Z84-Y84</f>
        <v>0</v>
      </c>
      <c r="AB84" s="119" t="n">
        <f aca="false">IF('W Fees &amp; KPI'!$D$13=0,0,T84-U84-Z84)</f>
        <v>0</v>
      </c>
    </row>
    <row r="85" customFormat="false" ht="21" hidden="false" customHeight="true" outlineLevel="0" collapsed="false">
      <c r="C85" s="144" t="n">
        <f aca="false">46478</f>
        <v>46478</v>
      </c>
      <c r="D85" s="81" t="n">
        <f aca="false">1</f>
        <v>1</v>
      </c>
      <c r="E85" s="81" t="str">
        <f aca="false">'W Sites'!C15</f>
        <v>S10</v>
      </c>
      <c r="F85" s="145" t="n">
        <f aca="false">'W Sites'!$G$15*MAX(0,EOMONTH(C85,0)-MAX(C85,'W Sites'!$F$15)+1)/DAY(EOMONTH(C85,0))</f>
        <v>0</v>
      </c>
      <c r="G85" s="145" t="n">
        <f aca="false">'W Sites'!$G$15*MAX(0,EOMONTH(C85,0)-MAX(C85,'W Sites'!$F$15,'W Assumptions'!$D$58)+1)/DAY(EOMONTH(C85,0))</f>
        <v>0</v>
      </c>
      <c r="H85" s="81" t="n">
        <f aca="false">'W Sites'!$H$15*F85*'W Sites'!$I$15*IF(((YEAR(C85)-YEAR('W Sites'!$F$15))*12+MONTH(C85)-MONTH('W Sites'!$F$15))=0,'W Assumptions'!$D$62,IF(((YEAR(C85)-YEAR('W Sites'!$F$15))*12+MONTH(C85)-MONTH('W Sites'!$F$15))=1,'W Assumptions'!$D$63,1))*INDEX('W Assumptions'!$D$7:$F$7,1,D85)*INDEX('W Assumptions'!$D$32:$F$32,1,D85)*INDEX('W Assumptions'!$D$80:$D$91,MONTH(C85),1)/AVERAGE('W Assumptions'!$D$80:$D$91)</f>
        <v>0</v>
      </c>
      <c r="I85" s="81" t="n">
        <f aca="false">H85*'W Sites'!$J$15/(1+'W Assumptions'!$D$39)*INDEX('W Assumptions'!$D$12:$F$12,1,D85)*INDEX('W Assumptions'!$D$33:$F$33,1,D85)</f>
        <v>0</v>
      </c>
      <c r="J85" s="81" t="n">
        <f aca="false">H85*'W Sites'!$K$15/(1+'W Assumptions'!$D$39)*INDEX('W Assumptions'!$D$12:$F$12,1,D85)*INDEX('W Assumptions'!$D$33:$F$33,1,D85)</f>
        <v>0</v>
      </c>
      <c r="K85" s="81" t="n">
        <f aca="false">'W Sites'!$L$15*F85*IF(((YEAR(C85)-YEAR('W Sites'!$F$15))*12+MONTH(C85)-MONTH('W Sites'!$F$15))=0,'W Assumptions'!$D$62,IF(((YEAR(C85)-YEAR('W Sites'!$F$15))*12+MONTH(C85)-MONTH('W Sites'!$F$15))=1,'W Assumptions'!$D$63,1))*INDEX('W Assumptions'!$D$7:$F$7,1,D85)*INDEX('W Assumptions'!$D$32:$F$32,1,D85)</f>
        <v>0</v>
      </c>
      <c r="L85" s="81" t="n">
        <f aca="false">SUM(I85:K85)</f>
        <v>0</v>
      </c>
      <c r="M85" s="81" t="n">
        <f aca="false">'W Site Costs'!$I$15*F85*INDEX('W Assumptions'!$D$34:$F$34,1,D85)*INDEX('W Assumptions'!$D$22:$F$22,1,D85)</f>
        <v>0</v>
      </c>
      <c r="N85" s="81" t="n">
        <f aca="false">'W Site Costs'!$J$15*F85*INDEX('W Assumptions'!$D$35:$F$35,1,D85)*INDEX('W Assumptions'!$D$22:$F$22,1,D85)</f>
        <v>0</v>
      </c>
      <c r="O85" s="81" t="n">
        <f aca="false">L85*'W Site Costs'!$K$15</f>
        <v>0</v>
      </c>
      <c r="P85" s="81" t="n">
        <f aca="false">SUM('W Site Costs'!$L$15:$Q$15)*F85*INDEX('W Assumptions'!$D$35:$F$35,1,D85)*INDEX('W Assumptions'!$D$22:$F$22,1,D85)</f>
        <v>0</v>
      </c>
      <c r="Q85" s="81" t="n">
        <f aca="false">L85*'W Site Costs'!$R$15*INDEX('W Assumptions'!$D$17:$F$17,1,D85)</f>
        <v>0</v>
      </c>
      <c r="R85" s="112" t="n">
        <f aca="false">L85*'W Sites'!$M$15</f>
        <v>0</v>
      </c>
      <c r="S85" s="81" t="n">
        <f aca="false">SUM(M85:R85)</f>
        <v>0</v>
      </c>
      <c r="T85" s="81" t="n">
        <f aca="false">L85-S85</f>
        <v>0</v>
      </c>
      <c r="U85" s="81" t="n">
        <f aca="false">IF(C85='W Budget &amp; Owners'!$I$15,'W Budget &amp; Owners'!$F$15*'W Sites'!$G$15,0)</f>
        <v>0</v>
      </c>
      <c r="V85" s="81" t="n">
        <f aca="false">'W Sites'!$G$15*'W Budget &amp; Owners'!$E$15*INDEX('W Assumptions'!$D$27:$F$27,1,D85)*(IF(C85='W Budget &amp; Owners'!$I$15,'W Assumptions'!$D$65,0)+IF(C85=DATE(YEAR('W Sites'!$F$15),MONTH('W Sites'!$F$15),1),1-'W Assumptions'!$D$65,0))+'W Sites'!$G$15*'W Budget &amp; Owners'!$E$15*IF(C85=DATE(2027,9,1),'W Assumptions'!$D$67,IF(C85=DATE(2028,9,1),'W Assumptions'!$D$69,0))</f>
        <v>0</v>
      </c>
      <c r="W85" s="81" t="n">
        <f aca="false">IF(((YEAR(C85)-YEAR('W Sites'!$F$15))*12+MONTH(C85)-MONTH('W Sites'!$F$15))&lt;'W Budget &amp; Owners'!$H$15,'W Budget &amp; Owners'!$E$15/'W Budget &amp; Owners'!$H$15*F85,0)+IF(C85&gt;=DATE(2027,9,1),'W Budget &amp; Owners'!$E$15*'W Assumptions'!$D$67/'W Budget &amp; Owners'!$H$15*F85,0)+IF(C85&gt;=DATE(2028,9,1),'W Budget &amp; Owners'!$E$15*'W Assumptions'!$D$69/'W Budget &amp; Owners'!$H$15*F85,0)</f>
        <v>0</v>
      </c>
      <c r="X85" s="81" t="n">
        <f aca="false">IF(C85='W Budget &amp; Owners'!$I$15,'W Budget &amp; Owners'!$G$15*'W Sites'!$G$15,0)</f>
        <v>0</v>
      </c>
      <c r="Y85" s="112" t="n">
        <f aca="false">IF(SUM($G$76:$G$85)=0,0,'W Fees &amp; KPI'!$Q$13*G85/SUM($G$76:$G$85))</f>
        <v>0</v>
      </c>
      <c r="Z85" s="119" t="n">
        <f aca="false">IF(SUM($G$76:$G$85)=0,0,SUM('W Fees &amp; KPI'!$J$13,'W Fees &amp; KPI'!$M$13)*G85/SUM($G$76:$G$85))</f>
        <v>0</v>
      </c>
      <c r="AA85" s="117" t="n">
        <f aca="false">T85-U85-Z85-Y85</f>
        <v>0</v>
      </c>
      <c r="AB85" s="119" t="n">
        <f aca="false">IF('W Fees &amp; KPI'!$D$13=0,0,T85-U85-Z85)</f>
        <v>0</v>
      </c>
    </row>
    <row r="86" customFormat="false" ht="21" hidden="false" customHeight="true" outlineLevel="0" collapsed="false">
      <c r="C86" s="144" t="n">
        <f aca="false">46508</f>
        <v>46508</v>
      </c>
      <c r="D86" s="81" t="n">
        <f aca="false">1</f>
        <v>1</v>
      </c>
      <c r="E86" s="81" t="str">
        <f aca="false">'W Sites'!C6</f>
        <v>S01</v>
      </c>
      <c r="F86" s="145" t="n">
        <f aca="false">'W Sites'!$G$6*MAX(0,EOMONTH(C86,0)-MAX(C86,'W Sites'!$F$6)+1)/DAY(EOMONTH(C86,0))</f>
        <v>1</v>
      </c>
      <c r="G86" s="145" t="n">
        <f aca="false">'W Sites'!$G$6*MAX(0,EOMONTH(C86,0)-MAX(C86,'W Sites'!$F$6,'W Assumptions'!$D$58)+1)/DAY(EOMONTH(C86,0))</f>
        <v>1</v>
      </c>
      <c r="H86" s="81" t="n">
        <f aca="false">'W Sites'!$D$45*INDEX('W Sites'!$E$65:$E$76,MONTH(C86),1)/SUM('W Sites'!$E$65:$E$76)*F86*(1+'W Sites'!$D$56)^(D86-1)*INDEX('W Assumptions'!$D$7:$F$7,1,D86)</f>
        <v>2930</v>
      </c>
      <c r="I86" s="81" t="n">
        <f aca="false">H86*'W Sites'!$D$46/(1+'W Sites'!$D$54*'W Assumptions'!$D$39)*INDEX('W Assumptions'!$D$12:$F$12,1,D86)</f>
        <v>161150</v>
      </c>
      <c r="J86" s="81" t="n">
        <f aca="false">H86*SUM('W Sites'!$D$47:$D$49)/(1+'W Sites'!$D$54*'W Assumptions'!$D$39)*INDEX('W Assumptions'!$D$12:$F$12,1,D86)</f>
        <v>87900</v>
      </c>
      <c r="K86" s="81" t="n">
        <f aca="false">SUM('W Sites'!$D$50:$D$52)/12*F86*(1+'W Sites'!$D$56)^(D86-1)*INDEX('W Assumptions'!$D$7:$F$7,1,D86)*INDEX('W Assumptions'!$D$12:$F$12,1,D86)/(1+'W Sites'!$D$54*'W Assumptions'!$D$39)</f>
        <v>33333.3333333333</v>
      </c>
      <c r="L86" s="81" t="n">
        <f aca="false">SUM(I86:K86)</f>
        <v>282383.333333333</v>
      </c>
      <c r="M86" s="81" t="n">
        <f aca="false">('W Site Costs'!$I$6+INDEX('W Sites'!$F$65:$F$76,MONTH(C86),1)*'W Site Costs'!$V$6)*F86*(1+'W Sites'!$D$58)^(D86-1)*INDEX('W Assumptions'!$D$22:$F$22,1,D86)</f>
        <v>108500</v>
      </c>
      <c r="N86" s="81" t="n">
        <f aca="false">'W Site Costs'!$J$6*F86*INDEX('W Assumptions'!$D$35:$F$35,1,D86)*INDEX('W Assumptions'!$D$22:$F$22,1,D86)</f>
        <v>15000</v>
      </c>
      <c r="O86" s="81" t="n">
        <f aca="false">L86*'W Site Costs'!$K$6</f>
        <v>0</v>
      </c>
      <c r="P86" s="81" t="n">
        <f aca="false">(SUM('W Site Costs'!$L$6:$Q$6)+INDEX('W Sites'!$F$65:$F$76,MONTH(C86),1)*'W Site Costs'!$W$6)*F86*(1+'W Sites'!$D$58)^(D86-1)*INDEX('W Assumptions'!$D$22:$F$22,1,D86)</f>
        <v>74000</v>
      </c>
      <c r="Q86" s="81" t="n">
        <f aca="false">('W Site Costs'!$X$6+INDEX('W Sites'!$F$65:$F$76,MONTH(C86),1)*'W Site Costs'!$Y$6)*F86*(1+'W Sites'!$D$58)^(D86-1)*INDEX('W Assumptions'!$D$17:$F$17,1,D86)</f>
        <v>18000</v>
      </c>
      <c r="R86" s="112" t="n">
        <f aca="false">L86*'W Sites'!$M$6</f>
        <v>0</v>
      </c>
      <c r="S86" s="81" t="n">
        <f aca="false">SUM(M86:R86)</f>
        <v>215500</v>
      </c>
      <c r="T86" s="81" t="n">
        <f aca="false">L86-S86</f>
        <v>66883.3333333333</v>
      </c>
      <c r="U86" s="81" t="n">
        <f aca="false">IF(C86='W Budget &amp; Owners'!$I$6,'W Budget &amp; Owners'!$F$6*'W Sites'!$G$6,0)</f>
        <v>0</v>
      </c>
      <c r="V86" s="81" t="n">
        <f aca="false">'W Sites'!$G$6*'W Budget &amp; Owners'!$E$6*INDEX('W Assumptions'!$D$27:$F$27,1,D86)*(IF(C86='W Budget &amp; Owners'!$I$6,'W Assumptions'!$D$65,0)+IF(C86=DATE(YEAR('W Sites'!$F$6),MONTH('W Sites'!$F$6),1),1-'W Assumptions'!$D$65,0))+'W Sites'!$G$6*'W Budget &amp; Owners'!$E$6*IF(C86=DATE(2027,9,1),'W Assumptions'!$D$67,IF(C86=DATE(2028,9,1),'W Assumptions'!$D$69,0))</f>
        <v>0</v>
      </c>
      <c r="W86" s="81" t="n">
        <f aca="false">IF(((YEAR(C86)-YEAR('W Sites'!$F$6))*12+MONTH(C86)-MONTH('W Sites'!$F$6))&lt;'W Budget &amp; Owners'!$H$6,'W Budget &amp; Owners'!$E$6/'W Budget &amp; Owners'!$H$6*F86,0)+IF(C86&gt;=DATE(2027,9,1),'W Budget &amp; Owners'!$E$6*'W Assumptions'!$D$67/'W Budget &amp; Owners'!$H$6*F86,0)+IF(C86&gt;=DATE(2028,9,1),'W Budget &amp; Owners'!$E$6*'W Assumptions'!$D$69/'W Budget &amp; Owners'!$H$6*F86,0)</f>
        <v>5833.33333333333</v>
      </c>
      <c r="X86" s="81" t="n">
        <f aca="false">IF(C86='W Budget &amp; Owners'!$I$6,'W Budget &amp; Owners'!$G$6*'W Sites'!$G$6,0)</f>
        <v>0</v>
      </c>
      <c r="Y86" s="112" t="n">
        <f aca="false">IF(SUM($G$86:$G$95)=0,0,'W Fees &amp; KPI'!$Q$14*G86/SUM($G$86:$G$95))</f>
        <v>2195.97463768116</v>
      </c>
      <c r="Z86" s="119" t="n">
        <f aca="false">IF(SUM($G$86:$G$95)=0,0,SUM('W Fees &amp; KPI'!$J$14,'W Fees &amp; KPI'!$M$14)*G86/SUM($G$86:$G$95))</f>
        <v>4086.25</v>
      </c>
      <c r="AA86" s="117" t="n">
        <f aca="false">T86-U86-Z86-Y86</f>
        <v>60601.1086956522</v>
      </c>
      <c r="AB86" s="119" t="n">
        <f aca="false">IF('W Fees &amp; KPI'!$D$14=0,0,T86-U86-Z86)</f>
        <v>62797.0833333333</v>
      </c>
    </row>
    <row r="87" customFormat="false" ht="21" hidden="false" customHeight="true" outlineLevel="0" collapsed="false">
      <c r="C87" s="144" t="n">
        <f aca="false">46508</f>
        <v>46508</v>
      </c>
      <c r="D87" s="81" t="n">
        <f aca="false">1</f>
        <v>1</v>
      </c>
      <c r="E87" s="81" t="str">
        <f aca="false">'W Sites'!C7</f>
        <v>S02</v>
      </c>
      <c r="F87" s="145" t="n">
        <f aca="false">'W Sites'!$G$7*MAX(0,EOMONTH(C87,0)-MAX(C87,'W Sites'!$F$7)+1)/DAY(EOMONTH(C87,0))</f>
        <v>1</v>
      </c>
      <c r="G87" s="145" t="n">
        <f aca="false">'W Sites'!$G$7*MAX(0,EOMONTH(C87,0)-MAX(C87,'W Sites'!$F$7,'W Assumptions'!$D$58)+1)/DAY(EOMONTH(C87,0))</f>
        <v>1</v>
      </c>
      <c r="H87" s="81" t="n">
        <f aca="false">'W Sites'!$H$7*F87*'W Sites'!$I$7*IF(((YEAR(C87)-YEAR('W Sites'!$F$7))*12+MONTH(C87)-MONTH('W Sites'!$F$7))=0,'W Assumptions'!$D$62,IF(((YEAR(C87)-YEAR('W Sites'!$F$7))*12+MONTH(C87)-MONTH('W Sites'!$F$7))=1,'W Assumptions'!$D$63,1))*INDEX('W Assumptions'!$D$7:$F$7,1,D87)*INDEX('W Assumptions'!$D$32:$F$32,1,D87)*INDEX('W Assumptions'!$D$80:$D$91,MONTH(C87),1)/AVERAGE('W Assumptions'!$D$80:$D$91)</f>
        <v>2100</v>
      </c>
      <c r="I87" s="81" t="n">
        <f aca="false">H87*'W Sites'!$J$7/(1+'W Assumptions'!$D$39)*INDEX('W Assumptions'!$D$12:$F$12,1,D87)*INDEX('W Assumptions'!$D$33:$F$33,1,D87)</f>
        <v>63913.0434782609</v>
      </c>
      <c r="J87" s="81" t="n">
        <f aca="false">H87*'W Sites'!$K$7/(1+'W Assumptions'!$D$39)*INDEX('W Assumptions'!$D$12:$F$12,1,D87)*INDEX('W Assumptions'!$D$33:$F$33,1,D87)</f>
        <v>5478.26086956522</v>
      </c>
      <c r="K87" s="81" t="n">
        <f aca="false">'W Sites'!$L$7*F87*IF(((YEAR(C87)-YEAR('W Sites'!$F$7))*12+MONTH(C87)-MONTH('W Sites'!$F$7))=0,'W Assumptions'!$D$62,IF(((YEAR(C87)-YEAR('W Sites'!$F$7))*12+MONTH(C87)-MONTH('W Sites'!$F$7))=1,'W Assumptions'!$D$63,1))*INDEX('W Assumptions'!$D$7:$F$7,1,D87)*INDEX('W Assumptions'!$D$32:$F$32,1,D87)</f>
        <v>5000</v>
      </c>
      <c r="L87" s="81" t="n">
        <f aca="false">SUM(I87:K87)</f>
        <v>74391.3043478261</v>
      </c>
      <c r="M87" s="81" t="n">
        <f aca="false">'W Site Costs'!$I$7*F87*INDEX('W Assumptions'!$D$34:$F$34,1,D87)*INDEX('W Assumptions'!$D$22:$F$22,1,D87)</f>
        <v>32450</v>
      </c>
      <c r="N87" s="81" t="n">
        <f aca="false">'W Site Costs'!$J$7*F87*INDEX('W Assumptions'!$D$35:$F$35,1,D87)*INDEX('W Assumptions'!$D$22:$F$22,1,D87)</f>
        <v>0</v>
      </c>
      <c r="O87" s="81" t="n">
        <f aca="false">L87*'W Site Costs'!$K$7</f>
        <v>11158.6956521739</v>
      </c>
      <c r="P87" s="81" t="n">
        <f aca="false">SUM('W Site Costs'!$L$7:$Q$7)*F87*INDEX('W Assumptions'!$D$35:$F$35,1,D87)*INDEX('W Assumptions'!$D$22:$F$22,1,D87)</f>
        <v>11700</v>
      </c>
      <c r="Q87" s="81" t="n">
        <f aca="false">L87*'W Site Costs'!$R$7*INDEX('W Assumptions'!$D$17:$F$17,1,D87)</f>
        <v>4463.47826086957</v>
      </c>
      <c r="R87" s="112" t="n">
        <f aca="false">L87*'W Sites'!$M$7</f>
        <v>0</v>
      </c>
      <c r="S87" s="81" t="n">
        <f aca="false">SUM(M87:R87)</f>
        <v>59772.1739130435</v>
      </c>
      <c r="T87" s="81" t="n">
        <f aca="false">L87-S87</f>
        <v>14619.1304347826</v>
      </c>
      <c r="U87" s="81" t="n">
        <f aca="false">IF(C87='W Budget &amp; Owners'!$I$7,'W Budget &amp; Owners'!$F$7*'W Sites'!$G$7,0)</f>
        <v>0</v>
      </c>
      <c r="V87" s="81" t="n">
        <f aca="false">'W Sites'!$G$7*'W Budget &amp; Owners'!$E$7*INDEX('W Assumptions'!$D$27:$F$27,1,D87)*(IF(C87='W Budget &amp; Owners'!$I$7,'W Assumptions'!$D$65,0)+IF(C87=DATE(YEAR('W Sites'!$F$7),MONTH('W Sites'!$F$7),1),1-'W Assumptions'!$D$65,0))+'W Sites'!$G$7*'W Budget &amp; Owners'!$E$7*IF(C87=DATE(2027,9,1),'W Assumptions'!$D$67,IF(C87=DATE(2028,9,1),'W Assumptions'!$D$69,0))</f>
        <v>0</v>
      </c>
      <c r="W87" s="81" t="n">
        <f aca="false">IF(((YEAR(C87)-YEAR('W Sites'!$F$7))*12+MONTH(C87)-MONTH('W Sites'!$F$7))&lt;'W Budget &amp; Owners'!$H$7,'W Budget &amp; Owners'!$E$7/'W Budget &amp; Owners'!$H$7*F87,0)+IF(C87&gt;=DATE(2027,9,1),'W Budget &amp; Owners'!$E$7*'W Assumptions'!$D$67/'W Budget &amp; Owners'!$H$7*F87,0)+IF(C87&gt;=DATE(2028,9,1),'W Budget &amp; Owners'!$E$7*'W Assumptions'!$D$69/'W Budget &amp; Owners'!$H$7*F87,0)</f>
        <v>1333.33333333333</v>
      </c>
      <c r="X87" s="81" t="n">
        <f aca="false">IF(C87='W Budget &amp; Owners'!$I$7,'W Budget &amp; Owners'!$G$7*'W Sites'!$G$7,0)</f>
        <v>0</v>
      </c>
      <c r="Y87" s="112" t="n">
        <f aca="false">IF(SUM($G$86:$G$95)=0,0,'W Fees &amp; KPI'!$Q$14*G87/SUM($G$86:$G$95))</f>
        <v>2195.97463768116</v>
      </c>
      <c r="Z87" s="119" t="n">
        <f aca="false">IF(SUM($G$86:$G$95)=0,0,SUM('W Fees &amp; KPI'!$J$14,'W Fees &amp; KPI'!$M$14)*G87/SUM($G$86:$G$95))</f>
        <v>4086.25</v>
      </c>
      <c r="AA87" s="117" t="n">
        <f aca="false">T87-U87-Z87-Y87</f>
        <v>8336.90579710146</v>
      </c>
      <c r="AB87" s="119" t="n">
        <f aca="false">IF('W Fees &amp; KPI'!$D$14=0,0,T87-U87-Z87)</f>
        <v>10532.8804347826</v>
      </c>
    </row>
    <row r="88" customFormat="false" ht="21" hidden="false" customHeight="true" outlineLevel="0" collapsed="false">
      <c r="C88" s="144" t="n">
        <f aca="false">46508</f>
        <v>46508</v>
      </c>
      <c r="D88" s="81" t="n">
        <f aca="false">1</f>
        <v>1</v>
      </c>
      <c r="E88" s="81" t="str">
        <f aca="false">'W Sites'!C8</f>
        <v>S03</v>
      </c>
      <c r="F88" s="145" t="n">
        <f aca="false">'W Sites'!$G$8*MAX(0,EOMONTH(C88,0)-MAX(C88,'W Sites'!$F$8)+1)/DAY(EOMONTH(C88,0))</f>
        <v>1</v>
      </c>
      <c r="G88" s="145" t="n">
        <f aca="false">'W Sites'!$G$8*MAX(0,EOMONTH(C88,0)-MAX(C88,'W Sites'!$F$8,'W Assumptions'!$D$58)+1)/DAY(EOMONTH(C88,0))</f>
        <v>1</v>
      </c>
      <c r="H88" s="81" t="n">
        <f aca="false">'W Sites'!$H$8*F88*'W Sites'!$I$8*IF(((YEAR(C88)-YEAR('W Sites'!$F$8))*12+MONTH(C88)-MONTH('W Sites'!$F$8))=0,'W Assumptions'!$D$62,IF(((YEAR(C88)-YEAR('W Sites'!$F$8))*12+MONTH(C88)-MONTH('W Sites'!$F$8))=1,'W Assumptions'!$D$63,1))*INDEX('W Assumptions'!$D$7:$F$7,1,D88)*INDEX('W Assumptions'!$D$32:$F$32,1,D88)*INDEX('W Assumptions'!$D$80:$D$91,MONTH(C88),1)/AVERAGE('W Assumptions'!$D$80:$D$91)</f>
        <v>2835.61643835616</v>
      </c>
      <c r="I88" s="81" t="n">
        <f aca="false">H88*'W Sites'!$J$8/(1+'W Assumptions'!$D$39)*INDEX('W Assumptions'!$D$12:$F$12,1,D88)*INDEX('W Assumptions'!$D$33:$F$33,1,D88)</f>
        <v>160273.97260274</v>
      </c>
      <c r="J88" s="81" t="n">
        <f aca="false">H88*'W Sites'!$K$8/(1+'W Assumptions'!$D$39)*INDEX('W Assumptions'!$D$12:$F$12,1,D88)*INDEX('W Assumptions'!$D$33:$F$33,1,D88)</f>
        <v>19726.0273972603</v>
      </c>
      <c r="K88" s="81" t="n">
        <f aca="false">'W Sites'!$L$8*F88*IF(((YEAR(C88)-YEAR('W Sites'!$F$8))*12+MONTH(C88)-MONTH('W Sites'!$F$8))=0,'W Assumptions'!$D$62,IF(((YEAR(C88)-YEAR('W Sites'!$F$8))*12+MONTH(C88)-MONTH('W Sites'!$F$8))=1,'W Assumptions'!$D$63,1))*INDEX('W Assumptions'!$D$7:$F$7,1,D88)*INDEX('W Assumptions'!$D$32:$F$32,1,D88)</f>
        <v>20000</v>
      </c>
      <c r="L88" s="81" t="n">
        <f aca="false">SUM(I88:K88)</f>
        <v>200000</v>
      </c>
      <c r="M88" s="81" t="n">
        <f aca="false">'W Site Costs'!$I$8*F88*INDEX('W Assumptions'!$D$34:$F$34,1,D88)*INDEX('W Assumptions'!$D$22:$F$22,1,D88)</f>
        <v>48026</v>
      </c>
      <c r="N88" s="81" t="n">
        <f aca="false">'W Site Costs'!$J$8*F88*INDEX('W Assumptions'!$D$35:$F$35,1,D88)*INDEX('W Assumptions'!$D$22:$F$22,1,D88)</f>
        <v>35000</v>
      </c>
      <c r="O88" s="81" t="n">
        <f aca="false">L88*'W Site Costs'!$K$8</f>
        <v>0</v>
      </c>
      <c r="P88" s="81" t="n">
        <f aca="false">SUM('W Site Costs'!$L$8:$Q$8)*F88*INDEX('W Assumptions'!$D$35:$F$35,1,D88)*INDEX('W Assumptions'!$D$22:$F$22,1,D88)</f>
        <v>19500</v>
      </c>
      <c r="Q88" s="81" t="n">
        <f aca="false">L88*'W Site Costs'!$R$8*INDEX('W Assumptions'!$D$17:$F$17,1,D88)</f>
        <v>16000</v>
      </c>
      <c r="R88" s="112" t="n">
        <f aca="false">L88*'W Sites'!$M$8</f>
        <v>0</v>
      </c>
      <c r="S88" s="81" t="n">
        <f aca="false">SUM(M88:R88)</f>
        <v>118526</v>
      </c>
      <c r="T88" s="81" t="n">
        <f aca="false">L88-S88</f>
        <v>81474</v>
      </c>
      <c r="U88" s="81" t="n">
        <f aca="false">IF(C88='W Budget &amp; Owners'!$I$8,'W Budget &amp; Owners'!$F$8*'W Sites'!$G$8,0)</f>
        <v>0</v>
      </c>
      <c r="V88" s="81" t="n">
        <f aca="false">'W Sites'!$G$8*'W Budget &amp; Owners'!$E$8*INDEX('W Assumptions'!$D$27:$F$27,1,D88)*(IF(C88='W Budget &amp; Owners'!$I$8,'W Assumptions'!$D$65,0)+IF(C88=DATE(YEAR('W Sites'!$F$8),MONTH('W Sites'!$F$8),1),1-'W Assumptions'!$D$65,0))+'W Sites'!$G$8*'W Budget &amp; Owners'!$E$8*IF(C88=DATE(2027,9,1),'W Assumptions'!$D$67,IF(C88=DATE(2028,9,1),'W Assumptions'!$D$69,0))</f>
        <v>0</v>
      </c>
      <c r="W88" s="81" t="n">
        <f aca="false">IF(((YEAR(C88)-YEAR('W Sites'!$F$8))*12+MONTH(C88)-MONTH('W Sites'!$F$8))&lt;'W Budget &amp; Owners'!$H$8,'W Budget &amp; Owners'!$E$8/'W Budget &amp; Owners'!$H$8*F88,0)+IF(C88&gt;=DATE(2027,9,1),'W Budget &amp; Owners'!$E$8*'W Assumptions'!$D$67/'W Budget &amp; Owners'!$H$8*F88,0)+IF(C88&gt;=DATE(2028,9,1),'W Budget &amp; Owners'!$E$8*'W Assumptions'!$D$69/'W Budget &amp; Owners'!$H$8*F88,0)</f>
        <v>10000</v>
      </c>
      <c r="X88" s="81" t="n">
        <f aca="false">IF(C88='W Budget &amp; Owners'!$I$8,'W Budget &amp; Owners'!$G$8*'W Sites'!$G$8,0)</f>
        <v>0</v>
      </c>
      <c r="Y88" s="112" t="n">
        <f aca="false">IF(SUM($G$86:$G$95)=0,0,'W Fees &amp; KPI'!$Q$14*G88/SUM($G$86:$G$95))</f>
        <v>2195.97463768116</v>
      </c>
      <c r="Z88" s="119" t="n">
        <f aca="false">IF(SUM($G$86:$G$95)=0,0,SUM('W Fees &amp; KPI'!$J$14,'W Fees &amp; KPI'!$M$14)*G88/SUM($G$86:$G$95))</f>
        <v>4086.25</v>
      </c>
      <c r="AA88" s="117" t="n">
        <f aca="false">T88-U88-Z88-Y88</f>
        <v>75191.7753623189</v>
      </c>
      <c r="AB88" s="119" t="n">
        <f aca="false">IF('W Fees &amp; KPI'!$D$14=0,0,T88-U88-Z88)</f>
        <v>77387.75</v>
      </c>
    </row>
    <row r="89" customFormat="false" ht="21" hidden="false" customHeight="true" outlineLevel="0" collapsed="false">
      <c r="C89" s="144" t="n">
        <f aca="false">46508</f>
        <v>46508</v>
      </c>
      <c r="D89" s="81" t="n">
        <f aca="false">1</f>
        <v>1</v>
      </c>
      <c r="E89" s="81" t="str">
        <f aca="false">'W Sites'!C9</f>
        <v>S04</v>
      </c>
      <c r="F89" s="145" t="n">
        <f aca="false">'W Sites'!$G$9*MAX(0,EOMONTH(C89,0)-MAX(C89,'W Sites'!$F$9)+1)/DAY(EOMONTH(C89,0))</f>
        <v>1</v>
      </c>
      <c r="G89" s="145" t="n">
        <f aca="false">'W Sites'!$G$9*MAX(0,EOMONTH(C89,0)-MAX(C89,'W Sites'!$F$9,'W Assumptions'!$D$58)+1)/DAY(EOMONTH(C89,0))</f>
        <v>1</v>
      </c>
      <c r="H89" s="81" t="n">
        <f aca="false">'W Sites'!$H$9*F89*'W Sites'!$I$9*IF(((YEAR(C89)-YEAR('W Sites'!$F$9))*12+MONTH(C89)-MONTH('W Sites'!$F$9))=0,'W Assumptions'!$D$62,IF(((YEAR(C89)-YEAR('W Sites'!$F$9))*12+MONTH(C89)-MONTH('W Sites'!$F$9))=1,'W Assumptions'!$D$63,1))*INDEX('W Assumptions'!$D$7:$F$7,1,D89)*INDEX('W Assumptions'!$D$32:$F$32,1,D89)*INDEX('W Assumptions'!$D$80:$D$91,MONTH(C89),1)/AVERAGE('W Assumptions'!$D$80:$D$91)</f>
        <v>1996.52777777778</v>
      </c>
      <c r="I89" s="81" t="n">
        <f aca="false">H89*'W Sites'!$J$9/(1+'W Assumptions'!$D$39)*INDEX('W Assumptions'!$D$12:$F$12,1,D89)*INDEX('W Assumptions'!$D$33:$F$33,1,D89)</f>
        <v>112847.222222222</v>
      </c>
      <c r="J89" s="81" t="n">
        <f aca="false">H89*'W Sites'!$K$9/(1+'W Assumptions'!$D$39)*INDEX('W Assumptions'!$D$12:$F$12,1,D89)*INDEX('W Assumptions'!$D$33:$F$33,1,D89)</f>
        <v>12152.7777777778</v>
      </c>
      <c r="K89" s="81" t="n">
        <f aca="false">'W Sites'!$L$9*F89*IF(((YEAR(C89)-YEAR('W Sites'!$F$9))*12+MONTH(C89)-MONTH('W Sites'!$F$9))=0,'W Assumptions'!$D$62,IF(((YEAR(C89)-YEAR('W Sites'!$F$9))*12+MONTH(C89)-MONTH('W Sites'!$F$9))=1,'W Assumptions'!$D$63,1))*INDEX('W Assumptions'!$D$7:$F$7,1,D89)*INDEX('W Assumptions'!$D$32:$F$32,1,D89)</f>
        <v>15000</v>
      </c>
      <c r="L89" s="81" t="n">
        <f aca="false">SUM(I89:K89)</f>
        <v>140000</v>
      </c>
      <c r="M89" s="81" t="n">
        <f aca="false">'W Site Costs'!$I$9*F89*INDEX('W Assumptions'!$D$34:$F$34,1,D89)*INDEX('W Assumptions'!$D$22:$F$22,1,D89)</f>
        <v>37760</v>
      </c>
      <c r="N89" s="81" t="n">
        <f aca="false">'W Site Costs'!$J$9*F89*INDEX('W Assumptions'!$D$35:$F$35,1,D89)*INDEX('W Assumptions'!$D$22:$F$22,1,D89)</f>
        <v>22000</v>
      </c>
      <c r="O89" s="81" t="n">
        <f aca="false">L89*'W Site Costs'!$K$9</f>
        <v>0</v>
      </c>
      <c r="P89" s="81" t="n">
        <f aca="false">SUM('W Site Costs'!$L$9:$Q$9)*F89*INDEX('W Assumptions'!$D$35:$F$35,1,D89)*INDEX('W Assumptions'!$D$22:$F$22,1,D89)</f>
        <v>15500</v>
      </c>
      <c r="Q89" s="81" t="n">
        <f aca="false">L89*'W Site Costs'!$R$9*INDEX('W Assumptions'!$D$17:$F$17,1,D89)</f>
        <v>11200</v>
      </c>
      <c r="R89" s="112" t="n">
        <f aca="false">L89*'W Sites'!$M$9</f>
        <v>0</v>
      </c>
      <c r="S89" s="81" t="n">
        <f aca="false">SUM(M89:R89)</f>
        <v>86460</v>
      </c>
      <c r="T89" s="81" t="n">
        <f aca="false">L89-S89</f>
        <v>53540</v>
      </c>
      <c r="U89" s="81" t="n">
        <f aca="false">IF(C89='W Budget &amp; Owners'!$I$9,'W Budget &amp; Owners'!$F$9*'W Sites'!$G$9,0)</f>
        <v>0</v>
      </c>
      <c r="V89" s="81" t="n">
        <f aca="false">'W Sites'!$G$9*'W Budget &amp; Owners'!$E$9*INDEX('W Assumptions'!$D$27:$F$27,1,D89)*(IF(C89='W Budget &amp; Owners'!$I$9,'W Assumptions'!$D$65,0)+IF(C89=DATE(YEAR('W Sites'!$F$9),MONTH('W Sites'!$F$9),1),1-'W Assumptions'!$D$65,0))+'W Sites'!$G$9*'W Budget &amp; Owners'!$E$9*IF(C89=DATE(2027,9,1),'W Assumptions'!$D$67,IF(C89=DATE(2028,9,1),'W Assumptions'!$D$69,0))</f>
        <v>0</v>
      </c>
      <c r="W89" s="81" t="n">
        <f aca="false">IF(((YEAR(C89)-YEAR('W Sites'!$F$9))*12+MONTH(C89)-MONTH('W Sites'!$F$9))&lt;'W Budget &amp; Owners'!$H$9,'W Budget &amp; Owners'!$E$9/'W Budget &amp; Owners'!$H$9*F89,0)+IF(C89&gt;=DATE(2027,9,1),'W Budget &amp; Owners'!$E$9*'W Assumptions'!$D$67/'W Budget &amp; Owners'!$H$9*F89,0)+IF(C89&gt;=DATE(2028,9,1),'W Budget &amp; Owners'!$E$9*'W Assumptions'!$D$69/'W Budget &amp; Owners'!$H$9*F89,0)</f>
        <v>8333.33333333333</v>
      </c>
      <c r="X89" s="81" t="n">
        <f aca="false">IF(C89='W Budget &amp; Owners'!$I$9,'W Budget &amp; Owners'!$G$9*'W Sites'!$G$9,0)</f>
        <v>0</v>
      </c>
      <c r="Y89" s="112" t="n">
        <f aca="false">IF(SUM($G$86:$G$95)=0,0,'W Fees &amp; KPI'!$Q$14*G89/SUM($G$86:$G$95))</f>
        <v>2195.97463768116</v>
      </c>
      <c r="Z89" s="119" t="n">
        <f aca="false">IF(SUM($G$86:$G$95)=0,0,SUM('W Fees &amp; KPI'!$J$14,'W Fees &amp; KPI'!$M$14)*G89/SUM($G$86:$G$95))</f>
        <v>4086.25</v>
      </c>
      <c r="AA89" s="117" t="n">
        <f aca="false">T89-U89-Z89-Y89</f>
        <v>47257.7753623188</v>
      </c>
      <c r="AB89" s="119" t="n">
        <f aca="false">IF('W Fees &amp; KPI'!$D$14=0,0,T89-U89-Z89)</f>
        <v>49453.75</v>
      </c>
    </row>
    <row r="90" customFormat="false" ht="21" hidden="false" customHeight="true" outlineLevel="0" collapsed="false">
      <c r="C90" s="144" t="n">
        <f aca="false">46508</f>
        <v>46508</v>
      </c>
      <c r="D90" s="81" t="n">
        <f aca="false">1</f>
        <v>1</v>
      </c>
      <c r="E90" s="81" t="str">
        <f aca="false">'W Sites'!C10</f>
        <v>S05</v>
      </c>
      <c r="F90" s="145" t="n">
        <f aca="false">'W Sites'!$G$10*MAX(0,EOMONTH(C90,0)-MAX(C90,'W Sites'!$F$10)+1)/DAY(EOMONTH(C90,0))</f>
        <v>1</v>
      </c>
      <c r="G90" s="145" t="n">
        <f aca="false">'W Sites'!$G$10*MAX(0,EOMONTH(C90,0)-MAX(C90,'W Sites'!$F$10,'W Assumptions'!$D$58)+1)/DAY(EOMONTH(C90,0))</f>
        <v>1</v>
      </c>
      <c r="H90" s="81" t="n">
        <f aca="false">'W Sites'!$H$10*F90*'W Sites'!$I$10*IF(((YEAR(C90)-YEAR('W Sites'!$F$10))*12+MONTH(C90)-MONTH('W Sites'!$F$10))=0,'W Assumptions'!$D$62,IF(((YEAR(C90)-YEAR('W Sites'!$F$10))*12+MONTH(C90)-MONTH('W Sites'!$F$10))=1,'W Assumptions'!$D$63,1))*INDEX('W Assumptions'!$D$7:$F$7,1,D90)*INDEX('W Assumptions'!$D$32:$F$32,1,D90)*INDEX('W Assumptions'!$D$80:$D$91,MONTH(C90),1)/AVERAGE('W Assumptions'!$D$80:$D$91)</f>
        <v>2552.05479452055</v>
      </c>
      <c r="I90" s="81" t="n">
        <f aca="false">H90*'W Sites'!$J$10/(1+'W Assumptions'!$D$39)*INDEX('W Assumptions'!$D$12:$F$12,1,D90)*INDEX('W Assumptions'!$D$33:$F$33,1,D90)</f>
        <v>144246.575342466</v>
      </c>
      <c r="J90" s="81" t="n">
        <f aca="false">H90*'W Sites'!$K$10/(1+'W Assumptions'!$D$39)*INDEX('W Assumptions'!$D$12:$F$12,1,D90)*INDEX('W Assumptions'!$D$33:$F$33,1,D90)</f>
        <v>17753.4246575342</v>
      </c>
      <c r="K90" s="81" t="n">
        <f aca="false">'W Sites'!$L$10*F90*IF(((YEAR(C90)-YEAR('W Sites'!$F$10))*12+MONTH(C90)-MONTH('W Sites'!$F$10))=0,'W Assumptions'!$D$62,IF(((YEAR(C90)-YEAR('W Sites'!$F$10))*12+MONTH(C90)-MONTH('W Sites'!$F$10))=1,'W Assumptions'!$D$63,1))*INDEX('W Assumptions'!$D$7:$F$7,1,D90)*INDEX('W Assumptions'!$D$32:$F$32,1,D90)</f>
        <v>18000</v>
      </c>
      <c r="L90" s="81" t="n">
        <f aca="false">SUM(I90:K90)</f>
        <v>180000</v>
      </c>
      <c r="M90" s="81" t="n">
        <f aca="false">'W Site Costs'!$I$10*F90*INDEX('W Assumptions'!$D$34:$F$34,1,D90)*INDEX('W Assumptions'!$D$22:$F$22,1,D90)</f>
        <v>48026</v>
      </c>
      <c r="N90" s="81" t="n">
        <f aca="false">'W Site Costs'!$J$10*F90*INDEX('W Assumptions'!$D$35:$F$35,1,D90)*INDEX('W Assumptions'!$D$22:$F$22,1,D90)</f>
        <v>30000</v>
      </c>
      <c r="O90" s="81" t="n">
        <f aca="false">L90*'W Site Costs'!$K$10</f>
        <v>0</v>
      </c>
      <c r="P90" s="81" t="n">
        <f aca="false">SUM('W Site Costs'!$L$10:$Q$10)*F90*INDEX('W Assumptions'!$D$35:$F$35,1,D90)*INDEX('W Assumptions'!$D$22:$F$22,1,D90)</f>
        <v>19000</v>
      </c>
      <c r="Q90" s="81" t="n">
        <f aca="false">L90*'W Site Costs'!$R$10*INDEX('W Assumptions'!$D$17:$F$17,1,D90)</f>
        <v>14400</v>
      </c>
      <c r="R90" s="112" t="n">
        <f aca="false">L90*'W Sites'!$M$10</f>
        <v>0</v>
      </c>
      <c r="S90" s="81" t="n">
        <f aca="false">SUM(M90:R90)</f>
        <v>111426</v>
      </c>
      <c r="T90" s="81" t="n">
        <f aca="false">L90-S90</f>
        <v>68574</v>
      </c>
      <c r="U90" s="81" t="n">
        <f aca="false">IF(C90='W Budget &amp; Owners'!$I$10,'W Budget &amp; Owners'!$F$10*'W Sites'!$G$10,0)</f>
        <v>0</v>
      </c>
      <c r="V90" s="81" t="n">
        <f aca="false">'W Sites'!$G$10*'W Budget &amp; Owners'!$E$10*INDEX('W Assumptions'!$D$27:$F$27,1,D90)*(IF(C90='W Budget &amp; Owners'!$I$10,'W Assumptions'!$D$65,0)+IF(C90=DATE(YEAR('W Sites'!$F$10),MONTH('W Sites'!$F$10),1),1-'W Assumptions'!$D$65,0))+'W Sites'!$G$10*'W Budget &amp; Owners'!$E$10*IF(C90=DATE(2027,9,1),'W Assumptions'!$D$67,IF(C90=DATE(2028,9,1),'W Assumptions'!$D$69,0))</f>
        <v>0</v>
      </c>
      <c r="W90" s="81" t="n">
        <f aca="false">IF(((YEAR(C90)-YEAR('W Sites'!$F$10))*12+MONTH(C90)-MONTH('W Sites'!$F$10))&lt;'W Budget &amp; Owners'!$H$10,'W Budget &amp; Owners'!$E$10/'W Budget &amp; Owners'!$H$10*F90,0)+IF(C90&gt;=DATE(2027,9,1),'W Budget &amp; Owners'!$E$10*'W Assumptions'!$D$67/'W Budget &amp; Owners'!$H$10*F90,0)+IF(C90&gt;=DATE(2028,9,1),'W Budget &amp; Owners'!$E$10*'W Assumptions'!$D$69/'W Budget &amp; Owners'!$H$10*F90,0)</f>
        <v>12500</v>
      </c>
      <c r="X90" s="81" t="n">
        <f aca="false">IF(C90='W Budget &amp; Owners'!$I$10,'W Budget &amp; Owners'!$G$10*'W Sites'!$G$10,0)</f>
        <v>0</v>
      </c>
      <c r="Y90" s="112" t="n">
        <f aca="false">IF(SUM($G$86:$G$95)=0,0,'W Fees &amp; KPI'!$Q$14*G90/SUM($G$86:$G$95))</f>
        <v>2195.97463768116</v>
      </c>
      <c r="Z90" s="119" t="n">
        <f aca="false">IF(SUM($G$86:$G$95)=0,0,SUM('W Fees &amp; KPI'!$J$14,'W Fees &amp; KPI'!$M$14)*G90/SUM($G$86:$G$95))</f>
        <v>4086.25</v>
      </c>
      <c r="AA90" s="117" t="n">
        <f aca="false">T90-U90-Z90-Y90</f>
        <v>62291.7753623189</v>
      </c>
      <c r="AB90" s="119" t="n">
        <f aca="false">IF('W Fees &amp; KPI'!$D$14=0,0,T90-U90-Z90)</f>
        <v>64487.75</v>
      </c>
    </row>
    <row r="91" customFormat="false" ht="21" hidden="false" customHeight="true" outlineLevel="0" collapsed="false">
      <c r="C91" s="144" t="n">
        <f aca="false">46508</f>
        <v>46508</v>
      </c>
      <c r="D91" s="81" t="n">
        <f aca="false">1</f>
        <v>1</v>
      </c>
      <c r="E91" s="81" t="str">
        <f aca="false">'W Sites'!C11</f>
        <v>S06</v>
      </c>
      <c r="F91" s="145" t="n">
        <f aca="false">'W Sites'!$G$11*MAX(0,EOMONTH(C91,0)-MAX(C91,'W Sites'!$F$11)+1)/DAY(EOMONTH(C91,0))</f>
        <v>1</v>
      </c>
      <c r="G91" s="145" t="n">
        <f aca="false">'W Sites'!$G$11*MAX(0,EOMONTH(C91,0)-MAX(C91,'W Sites'!$F$11,'W Assumptions'!$D$58)+1)/DAY(EOMONTH(C91,0))</f>
        <v>1</v>
      </c>
      <c r="H91" s="81" t="n">
        <f aca="false">'W Sites'!$H$11*F91*'W Sites'!$I$11*IF(((YEAR(C91)-YEAR('W Sites'!$F$11))*12+MONTH(C91)-MONTH('W Sites'!$F$11))=0,'W Assumptions'!$D$62,IF(((YEAR(C91)-YEAR('W Sites'!$F$11))*12+MONTH(C91)-MONTH('W Sites'!$F$11))=1,'W Assumptions'!$D$63,1))*INDEX('W Assumptions'!$D$7:$F$7,1,D91)*INDEX('W Assumptions'!$D$32:$F$32,1,D91)*INDEX('W Assumptions'!$D$80:$D$91,MONTH(C91),1)/AVERAGE('W Assumptions'!$D$80:$D$91)</f>
        <v>780</v>
      </c>
      <c r="I91" s="81" t="n">
        <f aca="false">H91*'W Sites'!$J$11/(1+'W Assumptions'!$D$39)*INDEX('W Assumptions'!$D$12:$F$12,1,D91)*INDEX('W Assumptions'!$D$33:$F$33,1,D91)</f>
        <v>40695.6521739131</v>
      </c>
      <c r="J91" s="81" t="n">
        <f aca="false">H91*'W Sites'!$K$11/(1+'W Assumptions'!$D$39)*INDEX('W Assumptions'!$D$12:$F$12,1,D91)*INDEX('W Assumptions'!$D$33:$F$33,1,D91)</f>
        <v>2034.78260869565</v>
      </c>
      <c r="K91" s="81" t="n">
        <f aca="false">'W Sites'!$L$11*F91*IF(((YEAR(C91)-YEAR('W Sites'!$F$11))*12+MONTH(C91)-MONTH('W Sites'!$F$11))=0,'W Assumptions'!$D$62,IF(((YEAR(C91)-YEAR('W Sites'!$F$11))*12+MONTH(C91)-MONTH('W Sites'!$F$11))=1,'W Assumptions'!$D$63,1))*INDEX('W Assumptions'!$D$7:$F$7,1,D91)*INDEX('W Assumptions'!$D$32:$F$32,1,D91)</f>
        <v>20000</v>
      </c>
      <c r="L91" s="81" t="n">
        <f aca="false">SUM(I91:K91)</f>
        <v>62730.4347826087</v>
      </c>
      <c r="M91" s="81" t="n">
        <f aca="false">'W Site Costs'!$I$11*F91*INDEX('W Assumptions'!$D$34:$F$34,1,D91)*INDEX('W Assumptions'!$D$22:$F$22,1,D91)</f>
        <v>23836</v>
      </c>
      <c r="N91" s="81" t="n">
        <f aca="false">'W Site Costs'!$J$11*F91*INDEX('W Assumptions'!$D$35:$F$35,1,D91)*INDEX('W Assumptions'!$D$22:$F$22,1,D91)</f>
        <v>5000</v>
      </c>
      <c r="O91" s="81" t="n">
        <f aca="false">L91*'W Site Costs'!$K$11</f>
        <v>0</v>
      </c>
      <c r="P91" s="81" t="n">
        <f aca="false">SUM('W Site Costs'!$L$11:$Q$11)*F91*INDEX('W Assumptions'!$D$35:$F$35,1,D91)*INDEX('W Assumptions'!$D$22:$F$22,1,D91)</f>
        <v>8000</v>
      </c>
      <c r="Q91" s="81" t="n">
        <f aca="false">L91*'W Site Costs'!$R$11*INDEX('W Assumptions'!$D$17:$F$17,1,D91)</f>
        <v>6273.04347826087</v>
      </c>
      <c r="R91" s="112" t="n">
        <f aca="false">L91*'W Sites'!$M$11</f>
        <v>0</v>
      </c>
      <c r="S91" s="81" t="n">
        <f aca="false">SUM(M91:R91)</f>
        <v>43109.0434782609</v>
      </c>
      <c r="T91" s="81" t="n">
        <f aca="false">L91-S91</f>
        <v>19621.3913043478</v>
      </c>
      <c r="U91" s="81" t="n">
        <f aca="false">IF(C91='W Budget &amp; Owners'!$I$11,'W Budget &amp; Owners'!$F$11*'W Sites'!$G$11,0)</f>
        <v>0</v>
      </c>
      <c r="V91" s="81" t="n">
        <f aca="false">'W Sites'!$G$11*'W Budget &amp; Owners'!$E$11*INDEX('W Assumptions'!$D$27:$F$27,1,D91)*(IF(C91='W Budget &amp; Owners'!$I$11,'W Assumptions'!$D$65,0)+IF(C91=DATE(YEAR('W Sites'!$F$11),MONTH('W Sites'!$F$11),1),1-'W Assumptions'!$D$65,0))+'W Sites'!$G$11*'W Budget &amp; Owners'!$E$11*IF(C91=DATE(2027,9,1),'W Assumptions'!$D$67,IF(C91=DATE(2028,9,1),'W Assumptions'!$D$69,0))</f>
        <v>0</v>
      </c>
      <c r="W91" s="81" t="n">
        <f aca="false">IF(((YEAR(C91)-YEAR('W Sites'!$F$11))*12+MONTH(C91)-MONTH('W Sites'!$F$11))&lt;'W Budget &amp; Owners'!$H$11,'W Budget &amp; Owners'!$E$11/'W Budget &amp; Owners'!$H$11*F91,0)+IF(C91&gt;=DATE(2027,9,1),'W Budget &amp; Owners'!$E$11*'W Assumptions'!$D$67/'W Budget &amp; Owners'!$H$11*F91,0)+IF(C91&gt;=DATE(2028,9,1),'W Budget &amp; Owners'!$E$11*'W Assumptions'!$D$69/'W Budget &amp; Owners'!$H$11*F91,0)</f>
        <v>2500</v>
      </c>
      <c r="X91" s="81" t="n">
        <f aca="false">IF(C91='W Budget &amp; Owners'!$I$11,'W Budget &amp; Owners'!$G$11*'W Sites'!$G$11,0)</f>
        <v>0</v>
      </c>
      <c r="Y91" s="112" t="n">
        <f aca="false">IF(SUM($G$86:$G$95)=0,0,'W Fees &amp; KPI'!$Q$14*G91/SUM($G$86:$G$95))</f>
        <v>2195.97463768116</v>
      </c>
      <c r="Z91" s="119" t="n">
        <f aca="false">IF(SUM($G$86:$G$95)=0,0,SUM('W Fees &amp; KPI'!$J$14,'W Fees &amp; KPI'!$M$14)*G91/SUM($G$86:$G$95))</f>
        <v>4086.25</v>
      </c>
      <c r="AA91" s="117" t="n">
        <f aca="false">T91-U91-Z91-Y91</f>
        <v>13339.1666666667</v>
      </c>
      <c r="AB91" s="119" t="n">
        <f aca="false">IF('W Fees &amp; KPI'!$D$14=0,0,T91-U91-Z91)</f>
        <v>15535.1413043478</v>
      </c>
    </row>
    <row r="92" customFormat="false" ht="21" hidden="false" customHeight="true" outlineLevel="0" collapsed="false">
      <c r="C92" s="144" t="n">
        <f aca="false">46508</f>
        <v>46508</v>
      </c>
      <c r="D92" s="81" t="n">
        <f aca="false">1</f>
        <v>1</v>
      </c>
      <c r="E92" s="81" t="str">
        <f aca="false">'W Sites'!C12</f>
        <v>S07</v>
      </c>
      <c r="F92" s="145" t="n">
        <f aca="false">'W Sites'!$G$12*MAX(0,EOMONTH(C92,0)-MAX(C92,'W Sites'!$F$12)+1)/DAY(EOMONTH(C92,0))</f>
        <v>1</v>
      </c>
      <c r="G92" s="145" t="n">
        <f aca="false">'W Sites'!$G$12*MAX(0,EOMONTH(C92,0)-MAX(C92,'W Sites'!$F$12,'W Assumptions'!$D$58)+1)/DAY(EOMONTH(C92,0))</f>
        <v>1</v>
      </c>
      <c r="H92" s="81" t="n">
        <f aca="false">'W Sites'!$H$12*F92*'W Sites'!$I$12*IF(((YEAR(C92)-YEAR('W Sites'!$F$12))*12+MONTH(C92)-MONTH('W Sites'!$F$12))=0,'W Assumptions'!$D$62,IF(((YEAR(C92)-YEAR('W Sites'!$F$12))*12+MONTH(C92)-MONTH('W Sites'!$F$12))=1,'W Assumptions'!$D$63,1))*INDEX('W Assumptions'!$D$7:$F$7,1,D92)*INDEX('W Assumptions'!$D$32:$F$32,1,D92)*INDEX('W Assumptions'!$D$80:$D$91,MONTH(C92),1)/AVERAGE('W Assumptions'!$D$80:$D$91)</f>
        <v>910</v>
      </c>
      <c r="I92" s="81" t="n">
        <f aca="false">H92*'W Sites'!$J$12/(1+'W Assumptions'!$D$39)*INDEX('W Assumptions'!$D$12:$F$12,1,D92)*INDEX('W Assumptions'!$D$33:$F$33,1,D92)</f>
        <v>47478.2608695652</v>
      </c>
      <c r="J92" s="81" t="n">
        <f aca="false">H92*'W Sites'!$K$12/(1+'W Assumptions'!$D$39)*INDEX('W Assumptions'!$D$12:$F$12,1,D92)*INDEX('W Assumptions'!$D$33:$F$33,1,D92)</f>
        <v>2373.91304347826</v>
      </c>
      <c r="K92" s="81" t="n">
        <f aca="false">'W Sites'!$L$12*F92*IF(((YEAR(C92)-YEAR('W Sites'!$F$12))*12+MONTH(C92)-MONTH('W Sites'!$F$12))=0,'W Assumptions'!$D$62,IF(((YEAR(C92)-YEAR('W Sites'!$F$12))*12+MONTH(C92)-MONTH('W Sites'!$F$12))=1,'W Assumptions'!$D$63,1))*INDEX('W Assumptions'!$D$7:$F$7,1,D92)*INDEX('W Assumptions'!$D$32:$F$32,1,D92)</f>
        <v>18000</v>
      </c>
      <c r="L92" s="81" t="n">
        <f aca="false">SUM(I92:K92)</f>
        <v>67852.1739130435</v>
      </c>
      <c r="M92" s="81" t="n">
        <f aca="false">'W Site Costs'!$I$12*F92*INDEX('W Assumptions'!$D$34:$F$34,1,D92)*INDEX('W Assumptions'!$D$22:$F$22,1,D92)</f>
        <v>23836</v>
      </c>
      <c r="N92" s="81" t="n">
        <f aca="false">'W Site Costs'!$J$12*F92*INDEX('W Assumptions'!$D$35:$F$35,1,D92)*INDEX('W Assumptions'!$D$22:$F$22,1,D92)</f>
        <v>8000</v>
      </c>
      <c r="O92" s="81" t="n">
        <f aca="false">L92*'W Site Costs'!$K$12</f>
        <v>0</v>
      </c>
      <c r="P92" s="81" t="n">
        <f aca="false">SUM('W Site Costs'!$L$12:$Q$12)*F92*INDEX('W Assumptions'!$D$35:$F$35,1,D92)*INDEX('W Assumptions'!$D$22:$F$22,1,D92)</f>
        <v>8500</v>
      </c>
      <c r="Q92" s="81" t="n">
        <f aca="false">L92*'W Site Costs'!$R$12*INDEX('W Assumptions'!$D$17:$F$17,1,D92)</f>
        <v>6785.21739130435</v>
      </c>
      <c r="R92" s="112" t="n">
        <f aca="false">L92*'W Sites'!$M$12</f>
        <v>0</v>
      </c>
      <c r="S92" s="81" t="n">
        <f aca="false">SUM(M92:R92)</f>
        <v>47121.2173913044</v>
      </c>
      <c r="T92" s="81" t="n">
        <f aca="false">L92-S92</f>
        <v>20730.9565217391</v>
      </c>
      <c r="U92" s="81" t="n">
        <f aca="false">IF(C92='W Budget &amp; Owners'!$I$12,'W Budget &amp; Owners'!$F$12*'W Sites'!$G$12,0)</f>
        <v>0</v>
      </c>
      <c r="V92" s="81" t="n">
        <f aca="false">'W Sites'!$G$12*'W Budget &amp; Owners'!$E$12*INDEX('W Assumptions'!$D$27:$F$27,1,D92)*(IF(C92='W Budget &amp; Owners'!$I$12,'W Assumptions'!$D$65,0)+IF(C92=DATE(YEAR('W Sites'!$F$12),MONTH('W Sites'!$F$12),1),1-'W Assumptions'!$D$65,0))+'W Sites'!$G$12*'W Budget &amp; Owners'!$E$12*IF(C92=DATE(2027,9,1),'W Assumptions'!$D$67,IF(C92=DATE(2028,9,1),'W Assumptions'!$D$69,0))</f>
        <v>0</v>
      </c>
      <c r="W92" s="81" t="n">
        <f aca="false">IF(((YEAR(C92)-YEAR('W Sites'!$F$12))*12+MONTH(C92)-MONTH('W Sites'!$F$12))&lt;'W Budget &amp; Owners'!$H$12,'W Budget &amp; Owners'!$E$12/'W Budget &amp; Owners'!$H$12*F92,0)+IF(C92&gt;=DATE(2027,9,1),'W Budget &amp; Owners'!$E$12*'W Assumptions'!$D$67/'W Budget &amp; Owners'!$H$12*F92,0)+IF(C92&gt;=DATE(2028,9,1),'W Budget &amp; Owners'!$E$12*'W Assumptions'!$D$69/'W Budget &amp; Owners'!$H$12*F92,0)</f>
        <v>7500</v>
      </c>
      <c r="X92" s="81" t="n">
        <f aca="false">IF(C92='W Budget &amp; Owners'!$I$12,'W Budget &amp; Owners'!$G$12*'W Sites'!$G$12,0)</f>
        <v>0</v>
      </c>
      <c r="Y92" s="112" t="n">
        <f aca="false">IF(SUM($G$86:$G$95)=0,0,'W Fees &amp; KPI'!$Q$14*G92/SUM($G$86:$G$95))</f>
        <v>2195.97463768116</v>
      </c>
      <c r="Z92" s="119" t="n">
        <f aca="false">IF(SUM($G$86:$G$95)=0,0,SUM('W Fees &amp; KPI'!$J$14,'W Fees &amp; KPI'!$M$14)*G92/SUM($G$86:$G$95))</f>
        <v>4086.25</v>
      </c>
      <c r="AA92" s="117" t="n">
        <f aca="false">T92-U92-Z92-Y92</f>
        <v>14448.731884058</v>
      </c>
      <c r="AB92" s="119" t="n">
        <f aca="false">IF('W Fees &amp; KPI'!$D$14=0,0,T92-U92-Z92)</f>
        <v>16644.7065217391</v>
      </c>
    </row>
    <row r="93" customFormat="false" ht="21" hidden="false" customHeight="true" outlineLevel="0" collapsed="false">
      <c r="C93" s="144" t="n">
        <f aca="false">46508</f>
        <v>46508</v>
      </c>
      <c r="D93" s="81" t="n">
        <f aca="false">1</f>
        <v>1</v>
      </c>
      <c r="E93" s="81" t="str">
        <f aca="false">'W Sites'!C13</f>
        <v>S08</v>
      </c>
      <c r="F93" s="145" t="n">
        <f aca="false">'W Sites'!$G$13*MAX(0,EOMONTH(C93,0)-MAX(C93,'W Sites'!$F$13)+1)/DAY(EOMONTH(C93,0))</f>
        <v>1</v>
      </c>
      <c r="G93" s="145" t="n">
        <f aca="false">'W Sites'!$G$13*MAX(0,EOMONTH(C93,0)-MAX(C93,'W Sites'!$F$13,'W Assumptions'!$D$58)+1)/DAY(EOMONTH(C93,0))</f>
        <v>1</v>
      </c>
      <c r="H93" s="81" t="n">
        <f aca="false">'W Sites'!$H$13*F93*'W Sites'!$I$13*IF(((YEAR(C93)-YEAR('W Sites'!$F$13))*12+MONTH(C93)-MONTH('W Sites'!$F$13))=0,'W Assumptions'!$D$62,IF(((YEAR(C93)-YEAR('W Sites'!$F$13))*12+MONTH(C93)-MONTH('W Sites'!$F$13))=1,'W Assumptions'!$D$63,1))*INDEX('W Assumptions'!$D$7:$F$7,1,D93)*INDEX('W Assumptions'!$D$32:$F$32,1,D93)*INDEX('W Assumptions'!$D$80:$D$91,MONTH(C93),1)/AVERAGE('W Assumptions'!$D$80:$D$91)</f>
        <v>3900</v>
      </c>
      <c r="I93" s="81" t="n">
        <f aca="false">H93*'W Sites'!$J$13/(1+'W Assumptions'!$D$39)*INDEX('W Assumptions'!$D$12:$F$12,1,D93)*INDEX('W Assumptions'!$D$33:$F$33,1,D93)</f>
        <v>135652.173913044</v>
      </c>
      <c r="J93" s="81" t="n">
        <f aca="false">H93*'W Sites'!$K$13/(1+'W Assumptions'!$D$39)*INDEX('W Assumptions'!$D$12:$F$12,1,D93)*INDEX('W Assumptions'!$D$33:$F$33,1,D93)</f>
        <v>16956.5217391304</v>
      </c>
      <c r="K93" s="81" t="n">
        <f aca="false">'W Sites'!$L$13*F93*IF(((YEAR(C93)-YEAR('W Sites'!$F$13))*12+MONTH(C93)-MONTH('W Sites'!$F$13))=0,'W Assumptions'!$D$62,IF(((YEAR(C93)-YEAR('W Sites'!$F$13))*12+MONTH(C93)-MONTH('W Sites'!$F$13))=1,'W Assumptions'!$D$63,1))*INDEX('W Assumptions'!$D$7:$F$7,1,D93)*INDEX('W Assumptions'!$D$32:$F$32,1,D93)</f>
        <v>15000</v>
      </c>
      <c r="L93" s="81" t="n">
        <f aca="false">SUM(I93:K93)</f>
        <v>167608.695652174</v>
      </c>
      <c r="M93" s="81" t="n">
        <f aca="false">'W Site Costs'!$I$13*F93*INDEX('W Assumptions'!$D$34:$F$34,1,D93)*INDEX('W Assumptions'!$D$22:$F$22,1,D93)</f>
        <v>53336</v>
      </c>
      <c r="N93" s="81" t="n">
        <f aca="false">'W Site Costs'!$J$13*F93*INDEX('W Assumptions'!$D$35:$F$35,1,D93)*INDEX('W Assumptions'!$D$22:$F$22,1,D93)</f>
        <v>0</v>
      </c>
      <c r="O93" s="81" t="n">
        <f aca="false">L93*'W Site Costs'!$K$13</f>
        <v>16760.8695652174</v>
      </c>
      <c r="P93" s="81" t="n">
        <f aca="false">SUM('W Site Costs'!$L$13:$Q$13)*F93*INDEX('W Assumptions'!$D$35:$F$35,1,D93)*INDEX('W Assumptions'!$D$22:$F$22,1,D93)</f>
        <v>25500</v>
      </c>
      <c r="Q93" s="81" t="n">
        <f aca="false">L93*'W Site Costs'!$R$13*INDEX('W Assumptions'!$D$17:$F$17,1,D93)</f>
        <v>13408.6956521739</v>
      </c>
      <c r="R93" s="112" t="n">
        <f aca="false">L93*'W Sites'!$M$13</f>
        <v>0</v>
      </c>
      <c r="S93" s="81" t="n">
        <f aca="false">SUM(M93:R93)</f>
        <v>109005.565217391</v>
      </c>
      <c r="T93" s="81" t="n">
        <f aca="false">L93-S93</f>
        <v>58603.1304347826</v>
      </c>
      <c r="U93" s="81" t="n">
        <f aca="false">IF(C93='W Budget &amp; Owners'!$I$13,'W Budget &amp; Owners'!$F$13*'W Sites'!$G$13,0)</f>
        <v>0</v>
      </c>
      <c r="V93" s="81" t="n">
        <f aca="false">'W Sites'!$G$13*'W Budget &amp; Owners'!$E$13*INDEX('W Assumptions'!$D$27:$F$27,1,D93)*(IF(C93='W Budget &amp; Owners'!$I$13,'W Assumptions'!$D$65,0)+IF(C93=DATE(YEAR('W Sites'!$F$13),MONTH('W Sites'!$F$13),1),1-'W Assumptions'!$D$65,0))+'W Sites'!$G$13*'W Budget &amp; Owners'!$E$13*IF(C93=DATE(2027,9,1),'W Assumptions'!$D$67,IF(C93=DATE(2028,9,1),'W Assumptions'!$D$69,0))</f>
        <v>0</v>
      </c>
      <c r="W93" s="81" t="n">
        <f aca="false">IF(((YEAR(C93)-YEAR('W Sites'!$F$13))*12+MONTH(C93)-MONTH('W Sites'!$F$13))&lt;'W Budget &amp; Owners'!$H$13,'W Budget &amp; Owners'!$E$13/'W Budget &amp; Owners'!$H$13*F93,0)+IF(C93&gt;=DATE(2027,9,1),'W Budget &amp; Owners'!$E$13*'W Assumptions'!$D$67/'W Budget &amp; Owners'!$H$13*F93,0)+IF(C93&gt;=DATE(2028,9,1),'W Budget &amp; Owners'!$E$13*'W Assumptions'!$D$69/'W Budget &amp; Owners'!$H$13*F93,0)</f>
        <v>20000</v>
      </c>
      <c r="X93" s="81" t="n">
        <f aca="false">IF(C93='W Budget &amp; Owners'!$I$13,'W Budget &amp; Owners'!$G$13*'W Sites'!$G$13,0)</f>
        <v>0</v>
      </c>
      <c r="Y93" s="112" t="n">
        <f aca="false">IF(SUM($G$86:$G$95)=0,0,'W Fees &amp; KPI'!$Q$14*G93/SUM($G$86:$G$95))</f>
        <v>2195.97463768116</v>
      </c>
      <c r="Z93" s="119" t="n">
        <f aca="false">IF(SUM($G$86:$G$95)=0,0,SUM('W Fees &amp; KPI'!$J$14,'W Fees &amp; KPI'!$M$14)*G93/SUM($G$86:$G$95))</f>
        <v>4086.25</v>
      </c>
      <c r="AA93" s="117" t="n">
        <f aca="false">T93-U93-Z93-Y93</f>
        <v>52320.9057971015</v>
      </c>
      <c r="AB93" s="119" t="n">
        <f aca="false">IF('W Fees &amp; KPI'!$D$14=0,0,T93-U93-Z93)</f>
        <v>54516.8804347826</v>
      </c>
    </row>
    <row r="94" customFormat="false" ht="21" hidden="false" customHeight="true" outlineLevel="0" collapsed="false">
      <c r="C94" s="144" t="n">
        <f aca="false">46508</f>
        <v>46508</v>
      </c>
      <c r="D94" s="81" t="n">
        <f aca="false">1</f>
        <v>1</v>
      </c>
      <c r="E94" s="81" t="str">
        <f aca="false">'W Sites'!C14</f>
        <v>S09</v>
      </c>
      <c r="F94" s="145" t="n">
        <f aca="false">'W Sites'!$G$14*MAX(0,EOMONTH(C94,0)-MAX(C94,'W Sites'!$F$14)+1)/DAY(EOMONTH(C94,0))</f>
        <v>0</v>
      </c>
      <c r="G94" s="145" t="n">
        <f aca="false">'W Sites'!$G$14*MAX(0,EOMONTH(C94,0)-MAX(C94,'W Sites'!$F$14,'W Assumptions'!$D$58)+1)/DAY(EOMONTH(C94,0))</f>
        <v>0</v>
      </c>
      <c r="H94" s="81" t="n">
        <f aca="false">'W Sites'!$H$14*F94*'W Sites'!$I$14*IF(((YEAR(C94)-YEAR('W Sites'!$F$14))*12+MONTH(C94)-MONTH('W Sites'!$F$14))=0,'W Assumptions'!$D$62,IF(((YEAR(C94)-YEAR('W Sites'!$F$14))*12+MONTH(C94)-MONTH('W Sites'!$F$14))=1,'W Assumptions'!$D$63,1))*INDEX('W Assumptions'!$D$7:$F$7,1,D94)*INDEX('W Assumptions'!$D$32:$F$32,1,D94)*INDEX('W Assumptions'!$D$80:$D$91,MONTH(C94),1)/AVERAGE('W Assumptions'!$D$80:$D$91)</f>
        <v>0</v>
      </c>
      <c r="I94" s="81" t="n">
        <f aca="false">H94*'W Sites'!$J$14/(1+'W Assumptions'!$D$39)*INDEX('W Assumptions'!$D$12:$F$12,1,D94)*INDEX('W Assumptions'!$D$33:$F$33,1,D94)</f>
        <v>0</v>
      </c>
      <c r="J94" s="81" t="n">
        <f aca="false">H94*'W Sites'!$K$14/(1+'W Assumptions'!$D$39)*INDEX('W Assumptions'!$D$12:$F$12,1,D94)*INDEX('W Assumptions'!$D$33:$F$33,1,D94)</f>
        <v>0</v>
      </c>
      <c r="K94" s="81" t="n">
        <f aca="false">'W Sites'!$L$14*F94*IF(((YEAR(C94)-YEAR('W Sites'!$F$14))*12+MONTH(C94)-MONTH('W Sites'!$F$14))=0,'W Assumptions'!$D$62,IF(((YEAR(C94)-YEAR('W Sites'!$F$14))*12+MONTH(C94)-MONTH('W Sites'!$F$14))=1,'W Assumptions'!$D$63,1))*INDEX('W Assumptions'!$D$7:$F$7,1,D94)*INDEX('W Assumptions'!$D$32:$F$32,1,D94)</f>
        <v>0</v>
      </c>
      <c r="L94" s="81" t="n">
        <f aca="false">SUM(I94:K94)</f>
        <v>0</v>
      </c>
      <c r="M94" s="81" t="n">
        <f aca="false">'W Site Costs'!$I$14*F94*INDEX('W Assumptions'!$D$34:$F$34,1,D94)*INDEX('W Assumptions'!$D$22:$F$22,1,D94)</f>
        <v>0</v>
      </c>
      <c r="N94" s="81" t="n">
        <f aca="false">'W Site Costs'!$J$14*F94*INDEX('W Assumptions'!$D$35:$F$35,1,D94)*INDEX('W Assumptions'!$D$22:$F$22,1,D94)</f>
        <v>0</v>
      </c>
      <c r="O94" s="81" t="n">
        <f aca="false">L94*'W Site Costs'!$K$14</f>
        <v>0</v>
      </c>
      <c r="P94" s="81" t="n">
        <f aca="false">SUM('W Site Costs'!$L$14:$Q$14)*F94*INDEX('W Assumptions'!$D$35:$F$35,1,D94)*INDEX('W Assumptions'!$D$22:$F$22,1,D94)</f>
        <v>0</v>
      </c>
      <c r="Q94" s="81" t="n">
        <f aca="false">L94*'W Site Costs'!$R$14*INDEX('W Assumptions'!$D$17:$F$17,1,D94)</f>
        <v>0</v>
      </c>
      <c r="R94" s="112" t="n">
        <f aca="false">L94*'W Sites'!$M$14</f>
        <v>0</v>
      </c>
      <c r="S94" s="81" t="n">
        <f aca="false">SUM(M94:R94)</f>
        <v>0</v>
      </c>
      <c r="T94" s="81" t="n">
        <f aca="false">L94-S94</f>
        <v>0</v>
      </c>
      <c r="U94" s="81" t="n">
        <f aca="false">IF(C94='W Budget &amp; Owners'!$I$14,'W Budget &amp; Owners'!$F$14*'W Sites'!$G$14,0)</f>
        <v>0</v>
      </c>
      <c r="V94" s="81" t="n">
        <f aca="false">'W Sites'!$G$14*'W Budget &amp; Owners'!$E$14*INDEX('W Assumptions'!$D$27:$F$27,1,D94)*(IF(C94='W Budget &amp; Owners'!$I$14,'W Assumptions'!$D$65,0)+IF(C94=DATE(YEAR('W Sites'!$F$14),MONTH('W Sites'!$F$14),1),1-'W Assumptions'!$D$65,0))+'W Sites'!$G$14*'W Budget &amp; Owners'!$E$14*IF(C94=DATE(2027,9,1),'W Assumptions'!$D$67,IF(C94=DATE(2028,9,1),'W Assumptions'!$D$69,0))</f>
        <v>0</v>
      </c>
      <c r="W94" s="81" t="n">
        <f aca="false">IF(((YEAR(C94)-YEAR('W Sites'!$F$14))*12+MONTH(C94)-MONTH('W Sites'!$F$14))&lt;'W Budget &amp; Owners'!$H$14,'W Budget &amp; Owners'!$E$14/'W Budget &amp; Owners'!$H$14*F94,0)+IF(C94&gt;=DATE(2027,9,1),'W Budget &amp; Owners'!$E$14*'W Assumptions'!$D$67/'W Budget &amp; Owners'!$H$14*F94,0)+IF(C94&gt;=DATE(2028,9,1),'W Budget &amp; Owners'!$E$14*'W Assumptions'!$D$69/'W Budget &amp; Owners'!$H$14*F94,0)</f>
        <v>0</v>
      </c>
      <c r="X94" s="81" t="n">
        <f aca="false">IF(C94='W Budget &amp; Owners'!$I$14,'W Budget &amp; Owners'!$G$14*'W Sites'!$G$14,0)</f>
        <v>0</v>
      </c>
      <c r="Y94" s="112" t="n">
        <f aca="false">IF(SUM($G$86:$G$95)=0,0,'W Fees &amp; KPI'!$Q$14*G94/SUM($G$86:$G$95))</f>
        <v>0</v>
      </c>
      <c r="Z94" s="119" t="n">
        <f aca="false">IF(SUM($G$86:$G$95)=0,0,SUM('W Fees &amp; KPI'!$J$14,'W Fees &amp; KPI'!$M$14)*G94/SUM($G$86:$G$95))</f>
        <v>0</v>
      </c>
      <c r="AA94" s="117" t="n">
        <f aca="false">T94-U94-Z94-Y94</f>
        <v>0</v>
      </c>
      <c r="AB94" s="119" t="n">
        <f aca="false">IF('W Fees &amp; KPI'!$D$14=0,0,T94-U94-Z94)</f>
        <v>0</v>
      </c>
    </row>
    <row r="95" customFormat="false" ht="21" hidden="false" customHeight="true" outlineLevel="0" collapsed="false">
      <c r="C95" s="144" t="n">
        <f aca="false">46508</f>
        <v>46508</v>
      </c>
      <c r="D95" s="81" t="n">
        <f aca="false">1</f>
        <v>1</v>
      </c>
      <c r="E95" s="81" t="str">
        <f aca="false">'W Sites'!C15</f>
        <v>S10</v>
      </c>
      <c r="F95" s="145" t="n">
        <f aca="false">'W Sites'!$G$15*MAX(0,EOMONTH(C95,0)-MAX(C95,'W Sites'!$F$15)+1)/DAY(EOMONTH(C95,0))</f>
        <v>0</v>
      </c>
      <c r="G95" s="145" t="n">
        <f aca="false">'W Sites'!$G$15*MAX(0,EOMONTH(C95,0)-MAX(C95,'W Sites'!$F$15,'W Assumptions'!$D$58)+1)/DAY(EOMONTH(C95,0))</f>
        <v>0</v>
      </c>
      <c r="H95" s="81" t="n">
        <f aca="false">'W Sites'!$H$15*F95*'W Sites'!$I$15*IF(((YEAR(C95)-YEAR('W Sites'!$F$15))*12+MONTH(C95)-MONTH('W Sites'!$F$15))=0,'W Assumptions'!$D$62,IF(((YEAR(C95)-YEAR('W Sites'!$F$15))*12+MONTH(C95)-MONTH('W Sites'!$F$15))=1,'W Assumptions'!$D$63,1))*INDEX('W Assumptions'!$D$7:$F$7,1,D95)*INDEX('W Assumptions'!$D$32:$F$32,1,D95)*INDEX('W Assumptions'!$D$80:$D$91,MONTH(C95),1)/AVERAGE('W Assumptions'!$D$80:$D$91)</f>
        <v>0</v>
      </c>
      <c r="I95" s="81" t="n">
        <f aca="false">H95*'W Sites'!$J$15/(1+'W Assumptions'!$D$39)*INDEX('W Assumptions'!$D$12:$F$12,1,D95)*INDEX('W Assumptions'!$D$33:$F$33,1,D95)</f>
        <v>0</v>
      </c>
      <c r="J95" s="81" t="n">
        <f aca="false">H95*'W Sites'!$K$15/(1+'W Assumptions'!$D$39)*INDEX('W Assumptions'!$D$12:$F$12,1,D95)*INDEX('W Assumptions'!$D$33:$F$33,1,D95)</f>
        <v>0</v>
      </c>
      <c r="K95" s="81" t="n">
        <f aca="false">'W Sites'!$L$15*F95*IF(((YEAR(C95)-YEAR('W Sites'!$F$15))*12+MONTH(C95)-MONTH('W Sites'!$F$15))=0,'W Assumptions'!$D$62,IF(((YEAR(C95)-YEAR('W Sites'!$F$15))*12+MONTH(C95)-MONTH('W Sites'!$F$15))=1,'W Assumptions'!$D$63,1))*INDEX('W Assumptions'!$D$7:$F$7,1,D95)*INDEX('W Assumptions'!$D$32:$F$32,1,D95)</f>
        <v>0</v>
      </c>
      <c r="L95" s="81" t="n">
        <f aca="false">SUM(I95:K95)</f>
        <v>0</v>
      </c>
      <c r="M95" s="81" t="n">
        <f aca="false">'W Site Costs'!$I$15*F95*INDEX('W Assumptions'!$D$34:$F$34,1,D95)*INDEX('W Assumptions'!$D$22:$F$22,1,D95)</f>
        <v>0</v>
      </c>
      <c r="N95" s="81" t="n">
        <f aca="false">'W Site Costs'!$J$15*F95*INDEX('W Assumptions'!$D$35:$F$35,1,D95)*INDEX('W Assumptions'!$D$22:$F$22,1,D95)</f>
        <v>0</v>
      </c>
      <c r="O95" s="81" t="n">
        <f aca="false">L95*'W Site Costs'!$K$15</f>
        <v>0</v>
      </c>
      <c r="P95" s="81" t="n">
        <f aca="false">SUM('W Site Costs'!$L$15:$Q$15)*F95*INDEX('W Assumptions'!$D$35:$F$35,1,D95)*INDEX('W Assumptions'!$D$22:$F$22,1,D95)</f>
        <v>0</v>
      </c>
      <c r="Q95" s="81" t="n">
        <f aca="false">L95*'W Site Costs'!$R$15*INDEX('W Assumptions'!$D$17:$F$17,1,D95)</f>
        <v>0</v>
      </c>
      <c r="R95" s="112" t="n">
        <f aca="false">L95*'W Sites'!$M$15</f>
        <v>0</v>
      </c>
      <c r="S95" s="81" t="n">
        <f aca="false">SUM(M95:R95)</f>
        <v>0</v>
      </c>
      <c r="T95" s="81" t="n">
        <f aca="false">L95-S95</f>
        <v>0</v>
      </c>
      <c r="U95" s="81" t="n">
        <f aca="false">IF(C95='W Budget &amp; Owners'!$I$15,'W Budget &amp; Owners'!$F$15*'W Sites'!$G$15,0)</f>
        <v>0</v>
      </c>
      <c r="V95" s="81" t="n">
        <f aca="false">'W Sites'!$G$15*'W Budget &amp; Owners'!$E$15*INDEX('W Assumptions'!$D$27:$F$27,1,D95)*(IF(C95='W Budget &amp; Owners'!$I$15,'W Assumptions'!$D$65,0)+IF(C95=DATE(YEAR('W Sites'!$F$15),MONTH('W Sites'!$F$15),1),1-'W Assumptions'!$D$65,0))+'W Sites'!$G$15*'W Budget &amp; Owners'!$E$15*IF(C95=DATE(2027,9,1),'W Assumptions'!$D$67,IF(C95=DATE(2028,9,1),'W Assumptions'!$D$69,0))</f>
        <v>0</v>
      </c>
      <c r="W95" s="81" t="n">
        <f aca="false">IF(((YEAR(C95)-YEAR('W Sites'!$F$15))*12+MONTH(C95)-MONTH('W Sites'!$F$15))&lt;'W Budget &amp; Owners'!$H$15,'W Budget &amp; Owners'!$E$15/'W Budget &amp; Owners'!$H$15*F95,0)+IF(C95&gt;=DATE(2027,9,1),'W Budget &amp; Owners'!$E$15*'W Assumptions'!$D$67/'W Budget &amp; Owners'!$H$15*F95,0)+IF(C95&gt;=DATE(2028,9,1),'W Budget &amp; Owners'!$E$15*'W Assumptions'!$D$69/'W Budget &amp; Owners'!$H$15*F95,0)</f>
        <v>0</v>
      </c>
      <c r="X95" s="81" t="n">
        <f aca="false">IF(C95='W Budget &amp; Owners'!$I$15,'W Budget &amp; Owners'!$G$15*'W Sites'!$G$15,0)</f>
        <v>0</v>
      </c>
      <c r="Y95" s="112" t="n">
        <f aca="false">IF(SUM($G$86:$G$95)=0,0,'W Fees &amp; KPI'!$Q$14*G95/SUM($G$86:$G$95))</f>
        <v>0</v>
      </c>
      <c r="Z95" s="119" t="n">
        <f aca="false">IF(SUM($G$86:$G$95)=0,0,SUM('W Fees &amp; KPI'!$J$14,'W Fees &amp; KPI'!$M$14)*G95/SUM($G$86:$G$95))</f>
        <v>0</v>
      </c>
      <c r="AA95" s="117" t="n">
        <f aca="false">T95-U95-Z95-Y95</f>
        <v>0</v>
      </c>
      <c r="AB95" s="119" t="n">
        <f aca="false">IF('W Fees &amp; KPI'!$D$14=0,0,T95-U95-Z95)</f>
        <v>0</v>
      </c>
    </row>
    <row r="96" customFormat="false" ht="21" hidden="false" customHeight="true" outlineLevel="0" collapsed="false">
      <c r="C96" s="144" t="n">
        <f aca="false">46539</f>
        <v>46539</v>
      </c>
      <c r="D96" s="81" t="n">
        <f aca="false">1</f>
        <v>1</v>
      </c>
      <c r="E96" s="81" t="str">
        <f aca="false">'W Sites'!C6</f>
        <v>S01</v>
      </c>
      <c r="F96" s="145" t="n">
        <f aca="false">'W Sites'!$G$6*MAX(0,EOMONTH(C96,0)-MAX(C96,'W Sites'!$F$6)+1)/DAY(EOMONTH(C96,0))</f>
        <v>1</v>
      </c>
      <c r="G96" s="145" t="n">
        <f aca="false">'W Sites'!$G$6*MAX(0,EOMONTH(C96,0)-MAX(C96,'W Sites'!$F$6,'W Assumptions'!$D$58)+1)/DAY(EOMONTH(C96,0))</f>
        <v>1</v>
      </c>
      <c r="H96" s="81" t="n">
        <f aca="false">'W Sites'!$D$45*INDEX('W Sites'!$E$65:$E$76,MONTH(C96),1)/SUM('W Sites'!$E$65:$E$76)*F96*(1+'W Sites'!$D$56)^(D96-1)*INDEX('W Assumptions'!$D$7:$F$7,1,D96)</f>
        <v>5860</v>
      </c>
      <c r="I96" s="81" t="n">
        <f aca="false">H96*'W Sites'!$D$46/(1+'W Sites'!$D$54*'W Assumptions'!$D$39)*INDEX('W Assumptions'!$D$12:$F$12,1,D96)</f>
        <v>322300</v>
      </c>
      <c r="J96" s="81" t="n">
        <f aca="false">H96*SUM('W Sites'!$D$47:$D$49)/(1+'W Sites'!$D$54*'W Assumptions'!$D$39)*INDEX('W Assumptions'!$D$12:$F$12,1,D96)</f>
        <v>175800</v>
      </c>
      <c r="K96" s="81" t="n">
        <f aca="false">SUM('W Sites'!$D$50:$D$52)/12*F96*(1+'W Sites'!$D$56)^(D96-1)*INDEX('W Assumptions'!$D$7:$F$7,1,D96)*INDEX('W Assumptions'!$D$12:$F$12,1,D96)/(1+'W Sites'!$D$54*'W Assumptions'!$D$39)</f>
        <v>33333.3333333333</v>
      </c>
      <c r="L96" s="81" t="n">
        <f aca="false">SUM(I96:K96)</f>
        <v>531433.333333333</v>
      </c>
      <c r="M96" s="81" t="n">
        <f aca="false">('W Site Costs'!$I$6+INDEX('W Sites'!$F$65:$F$76,MONTH(C96),1)*'W Site Costs'!$V$6)*F96*(1+'W Sites'!$D$58)^(D96-1)*INDEX('W Assumptions'!$D$22:$F$22,1,D96)</f>
        <v>163000</v>
      </c>
      <c r="N96" s="81" t="n">
        <f aca="false">'W Site Costs'!$J$6*F96*INDEX('W Assumptions'!$D$35:$F$35,1,D96)*INDEX('W Assumptions'!$D$22:$F$22,1,D96)</f>
        <v>15000</v>
      </c>
      <c r="O96" s="81" t="n">
        <f aca="false">L96*'W Site Costs'!$K$6</f>
        <v>0</v>
      </c>
      <c r="P96" s="81" t="n">
        <f aca="false">(SUM('W Site Costs'!$L$6:$Q$6)+INDEX('W Sites'!$F$65:$F$76,MONTH(C96),1)*'W Site Costs'!$W$6)*F96*(1+'W Sites'!$D$58)^(D96-1)*INDEX('W Assumptions'!$D$22:$F$22,1,D96)</f>
        <v>107000</v>
      </c>
      <c r="Q96" s="81" t="n">
        <f aca="false">('W Site Costs'!$X$6+INDEX('W Sites'!$F$65:$F$76,MONTH(C96),1)*'W Site Costs'!$Y$6)*F96*(1+'W Sites'!$D$58)^(D96-1)*INDEX('W Assumptions'!$D$17:$F$17,1,D96)</f>
        <v>25000</v>
      </c>
      <c r="R96" s="112" t="n">
        <f aca="false">L96*'W Sites'!$M$6</f>
        <v>0</v>
      </c>
      <c r="S96" s="81" t="n">
        <f aca="false">SUM(M96:R96)</f>
        <v>310000</v>
      </c>
      <c r="T96" s="81" t="n">
        <f aca="false">L96-S96</f>
        <v>221433.333333333</v>
      </c>
      <c r="U96" s="81" t="n">
        <f aca="false">IF(C96='W Budget &amp; Owners'!$I$6,'W Budget &amp; Owners'!$F$6*'W Sites'!$G$6,0)</f>
        <v>0</v>
      </c>
      <c r="V96" s="81" t="n">
        <f aca="false">'W Sites'!$G$6*'W Budget &amp; Owners'!$E$6*INDEX('W Assumptions'!$D$27:$F$27,1,D96)*(IF(C96='W Budget &amp; Owners'!$I$6,'W Assumptions'!$D$65,0)+IF(C96=DATE(YEAR('W Sites'!$F$6),MONTH('W Sites'!$F$6),1),1-'W Assumptions'!$D$65,0))+'W Sites'!$G$6*'W Budget &amp; Owners'!$E$6*IF(C96=DATE(2027,9,1),'W Assumptions'!$D$67,IF(C96=DATE(2028,9,1),'W Assumptions'!$D$69,0))</f>
        <v>0</v>
      </c>
      <c r="W96" s="81" t="n">
        <f aca="false">IF(((YEAR(C96)-YEAR('W Sites'!$F$6))*12+MONTH(C96)-MONTH('W Sites'!$F$6))&lt;'W Budget &amp; Owners'!$H$6,'W Budget &amp; Owners'!$E$6/'W Budget &amp; Owners'!$H$6*F96,0)+IF(C96&gt;=DATE(2027,9,1),'W Budget &amp; Owners'!$E$6*'W Assumptions'!$D$67/'W Budget &amp; Owners'!$H$6*F96,0)+IF(C96&gt;=DATE(2028,9,1),'W Budget &amp; Owners'!$E$6*'W Assumptions'!$D$69/'W Budget &amp; Owners'!$H$6*F96,0)</f>
        <v>5833.33333333333</v>
      </c>
      <c r="X96" s="81" t="n">
        <f aca="false">IF(C96='W Budget &amp; Owners'!$I$6,'W Budget &amp; Owners'!$G$6*'W Sites'!$G$6,0)</f>
        <v>0</v>
      </c>
      <c r="Y96" s="112" t="n">
        <f aca="false">IF(SUM($G$96:$G$105)=0,0,'W Fees &amp; KPI'!$Q$15*G96/SUM($G$96:$G$105))</f>
        <v>2295.7588768116</v>
      </c>
      <c r="Z96" s="119" t="n">
        <f aca="false">IF(SUM($G$96:$G$105)=0,0,SUM('W Fees &amp; KPI'!$J$15,'W Fees &amp; KPI'!$M$15)*G96/SUM($G$96:$G$105))</f>
        <v>4086.25</v>
      </c>
      <c r="AA96" s="117" t="n">
        <f aca="false">T96-U96-Z96-Y96</f>
        <v>215051.324456522</v>
      </c>
      <c r="AB96" s="119" t="n">
        <f aca="false">IF('W Fees &amp; KPI'!$D$15=0,0,T96-U96-Z96)</f>
        <v>217347.083333333</v>
      </c>
    </row>
    <row r="97" customFormat="false" ht="21" hidden="false" customHeight="true" outlineLevel="0" collapsed="false">
      <c r="C97" s="144" t="n">
        <f aca="false">46539</f>
        <v>46539</v>
      </c>
      <c r="D97" s="81" t="n">
        <f aca="false">1</f>
        <v>1</v>
      </c>
      <c r="E97" s="81" t="str">
        <f aca="false">'W Sites'!C7</f>
        <v>S02</v>
      </c>
      <c r="F97" s="145" t="n">
        <f aca="false">'W Sites'!$G$7*MAX(0,EOMONTH(C97,0)-MAX(C97,'W Sites'!$F$7)+1)/DAY(EOMONTH(C97,0))</f>
        <v>1</v>
      </c>
      <c r="G97" s="145" t="n">
        <f aca="false">'W Sites'!$G$7*MAX(0,EOMONTH(C97,0)-MAX(C97,'W Sites'!$F$7,'W Assumptions'!$D$58)+1)/DAY(EOMONTH(C97,0))</f>
        <v>1</v>
      </c>
      <c r="H97" s="81" t="n">
        <f aca="false">'W Sites'!$H$7*F97*'W Sites'!$I$7*IF(((YEAR(C97)-YEAR('W Sites'!$F$7))*12+MONTH(C97)-MONTH('W Sites'!$F$7))=0,'W Assumptions'!$D$62,IF(((YEAR(C97)-YEAR('W Sites'!$F$7))*12+MONTH(C97)-MONTH('W Sites'!$F$7))=1,'W Assumptions'!$D$63,1))*INDEX('W Assumptions'!$D$7:$F$7,1,D97)*INDEX('W Assumptions'!$D$32:$F$32,1,D97)*INDEX('W Assumptions'!$D$80:$D$91,MONTH(C97),1)/AVERAGE('W Assumptions'!$D$80:$D$91)</f>
        <v>1680</v>
      </c>
      <c r="I97" s="81" t="n">
        <f aca="false">H97*'W Sites'!$J$7/(1+'W Assumptions'!$D$39)*INDEX('W Assumptions'!$D$12:$F$12,1,D97)*INDEX('W Assumptions'!$D$33:$F$33,1,D97)</f>
        <v>51130.4347826087</v>
      </c>
      <c r="J97" s="81" t="n">
        <f aca="false">H97*'W Sites'!$K$7/(1+'W Assumptions'!$D$39)*INDEX('W Assumptions'!$D$12:$F$12,1,D97)*INDEX('W Assumptions'!$D$33:$F$33,1,D97)</f>
        <v>4382.60869565217</v>
      </c>
      <c r="K97" s="81" t="n">
        <f aca="false">'W Sites'!$L$7*F97*IF(((YEAR(C97)-YEAR('W Sites'!$F$7))*12+MONTH(C97)-MONTH('W Sites'!$F$7))=0,'W Assumptions'!$D$62,IF(((YEAR(C97)-YEAR('W Sites'!$F$7))*12+MONTH(C97)-MONTH('W Sites'!$F$7))=1,'W Assumptions'!$D$63,1))*INDEX('W Assumptions'!$D$7:$F$7,1,D97)*INDEX('W Assumptions'!$D$32:$F$32,1,D97)</f>
        <v>5000</v>
      </c>
      <c r="L97" s="81" t="n">
        <f aca="false">SUM(I97:K97)</f>
        <v>60513.0434782609</v>
      </c>
      <c r="M97" s="81" t="n">
        <f aca="false">'W Site Costs'!$I$7*F97*INDEX('W Assumptions'!$D$34:$F$34,1,D97)*INDEX('W Assumptions'!$D$22:$F$22,1,D97)</f>
        <v>32450</v>
      </c>
      <c r="N97" s="81" t="n">
        <f aca="false">'W Site Costs'!$J$7*F97*INDEX('W Assumptions'!$D$35:$F$35,1,D97)*INDEX('W Assumptions'!$D$22:$F$22,1,D97)</f>
        <v>0</v>
      </c>
      <c r="O97" s="81" t="n">
        <f aca="false">L97*'W Site Costs'!$K$7</f>
        <v>9076.95652173913</v>
      </c>
      <c r="P97" s="81" t="n">
        <f aca="false">SUM('W Site Costs'!$L$7:$Q$7)*F97*INDEX('W Assumptions'!$D$35:$F$35,1,D97)*INDEX('W Assumptions'!$D$22:$F$22,1,D97)</f>
        <v>11700</v>
      </c>
      <c r="Q97" s="81" t="n">
        <f aca="false">L97*'W Site Costs'!$R$7*INDEX('W Assumptions'!$D$17:$F$17,1,D97)</f>
        <v>3630.78260869565</v>
      </c>
      <c r="R97" s="112" t="n">
        <f aca="false">L97*'W Sites'!$M$7</f>
        <v>0</v>
      </c>
      <c r="S97" s="81" t="n">
        <f aca="false">SUM(M97:R97)</f>
        <v>56857.7391304348</v>
      </c>
      <c r="T97" s="81" t="n">
        <f aca="false">L97-S97</f>
        <v>3655.30434782609</v>
      </c>
      <c r="U97" s="81" t="n">
        <f aca="false">IF(C97='W Budget &amp; Owners'!$I$7,'W Budget &amp; Owners'!$F$7*'W Sites'!$G$7,0)</f>
        <v>0</v>
      </c>
      <c r="V97" s="81" t="n">
        <f aca="false">'W Sites'!$G$7*'W Budget &amp; Owners'!$E$7*INDEX('W Assumptions'!$D$27:$F$27,1,D97)*(IF(C97='W Budget &amp; Owners'!$I$7,'W Assumptions'!$D$65,0)+IF(C97=DATE(YEAR('W Sites'!$F$7),MONTH('W Sites'!$F$7),1),1-'W Assumptions'!$D$65,0))+'W Sites'!$G$7*'W Budget &amp; Owners'!$E$7*IF(C97=DATE(2027,9,1),'W Assumptions'!$D$67,IF(C97=DATE(2028,9,1),'W Assumptions'!$D$69,0))</f>
        <v>0</v>
      </c>
      <c r="W97" s="81" t="n">
        <f aca="false">IF(((YEAR(C97)-YEAR('W Sites'!$F$7))*12+MONTH(C97)-MONTH('W Sites'!$F$7))&lt;'W Budget &amp; Owners'!$H$7,'W Budget &amp; Owners'!$E$7/'W Budget &amp; Owners'!$H$7*F97,0)+IF(C97&gt;=DATE(2027,9,1),'W Budget &amp; Owners'!$E$7*'W Assumptions'!$D$67/'W Budget &amp; Owners'!$H$7*F97,0)+IF(C97&gt;=DATE(2028,9,1),'W Budget &amp; Owners'!$E$7*'W Assumptions'!$D$69/'W Budget &amp; Owners'!$H$7*F97,0)</f>
        <v>1333.33333333333</v>
      </c>
      <c r="X97" s="81" t="n">
        <f aca="false">IF(C97='W Budget &amp; Owners'!$I$7,'W Budget &amp; Owners'!$G$7*'W Sites'!$G$7,0)</f>
        <v>0</v>
      </c>
      <c r="Y97" s="112" t="n">
        <f aca="false">IF(SUM($G$96:$G$105)=0,0,'W Fees &amp; KPI'!$Q$15*G97/SUM($G$96:$G$105))</f>
        <v>2295.7588768116</v>
      </c>
      <c r="Z97" s="119" t="n">
        <f aca="false">IF(SUM($G$96:$G$105)=0,0,SUM('W Fees &amp; KPI'!$J$15,'W Fees &amp; KPI'!$M$15)*G97/SUM($G$96:$G$105))</f>
        <v>4086.25</v>
      </c>
      <c r="AA97" s="117" t="n">
        <f aca="false">T97-U97-Z97-Y97</f>
        <v>-2726.70452898551</v>
      </c>
      <c r="AB97" s="119" t="n">
        <f aca="false">IF('W Fees &amp; KPI'!$D$15=0,0,T97-U97-Z97)</f>
        <v>-430.945652173912</v>
      </c>
    </row>
    <row r="98" customFormat="false" ht="21" hidden="false" customHeight="true" outlineLevel="0" collapsed="false">
      <c r="C98" s="144" t="n">
        <f aca="false">46539</f>
        <v>46539</v>
      </c>
      <c r="D98" s="81" t="n">
        <f aca="false">1</f>
        <v>1</v>
      </c>
      <c r="E98" s="81" t="str">
        <f aca="false">'W Sites'!C8</f>
        <v>S03</v>
      </c>
      <c r="F98" s="145" t="n">
        <f aca="false">'W Sites'!$G$8*MAX(0,EOMONTH(C98,0)-MAX(C98,'W Sites'!$F$8)+1)/DAY(EOMONTH(C98,0))</f>
        <v>1</v>
      </c>
      <c r="G98" s="145" t="n">
        <f aca="false">'W Sites'!$G$8*MAX(0,EOMONTH(C98,0)-MAX(C98,'W Sites'!$F$8,'W Assumptions'!$D$58)+1)/DAY(EOMONTH(C98,0))</f>
        <v>1</v>
      </c>
      <c r="H98" s="81" t="n">
        <f aca="false">'W Sites'!$H$8*F98*'W Sites'!$I$8*IF(((YEAR(C98)-YEAR('W Sites'!$F$8))*12+MONTH(C98)-MONTH('W Sites'!$F$8))=0,'W Assumptions'!$D$62,IF(((YEAR(C98)-YEAR('W Sites'!$F$8))*12+MONTH(C98)-MONTH('W Sites'!$F$8))=1,'W Assumptions'!$D$63,1))*INDEX('W Assumptions'!$D$7:$F$7,1,D98)*INDEX('W Assumptions'!$D$32:$F$32,1,D98)*INDEX('W Assumptions'!$D$80:$D$91,MONTH(C98),1)/AVERAGE('W Assumptions'!$D$80:$D$91)</f>
        <v>2268.49315068493</v>
      </c>
      <c r="I98" s="81" t="n">
        <f aca="false">H98*'W Sites'!$J$8/(1+'W Assumptions'!$D$39)*INDEX('W Assumptions'!$D$12:$F$12,1,D98)*INDEX('W Assumptions'!$D$33:$F$33,1,D98)</f>
        <v>128219.178082192</v>
      </c>
      <c r="J98" s="81" t="n">
        <f aca="false">H98*'W Sites'!$K$8/(1+'W Assumptions'!$D$39)*INDEX('W Assumptions'!$D$12:$F$12,1,D98)*INDEX('W Assumptions'!$D$33:$F$33,1,D98)</f>
        <v>15780.8219178082</v>
      </c>
      <c r="K98" s="81" t="n">
        <f aca="false">'W Sites'!$L$8*F98*IF(((YEAR(C98)-YEAR('W Sites'!$F$8))*12+MONTH(C98)-MONTH('W Sites'!$F$8))=0,'W Assumptions'!$D$62,IF(((YEAR(C98)-YEAR('W Sites'!$F$8))*12+MONTH(C98)-MONTH('W Sites'!$F$8))=1,'W Assumptions'!$D$63,1))*INDEX('W Assumptions'!$D$7:$F$7,1,D98)*INDEX('W Assumptions'!$D$32:$F$32,1,D98)</f>
        <v>20000</v>
      </c>
      <c r="L98" s="81" t="n">
        <f aca="false">SUM(I98:K98)</f>
        <v>164000</v>
      </c>
      <c r="M98" s="81" t="n">
        <f aca="false">'W Site Costs'!$I$8*F98*INDEX('W Assumptions'!$D$34:$F$34,1,D98)*INDEX('W Assumptions'!$D$22:$F$22,1,D98)</f>
        <v>48026</v>
      </c>
      <c r="N98" s="81" t="n">
        <f aca="false">'W Site Costs'!$J$8*F98*INDEX('W Assumptions'!$D$35:$F$35,1,D98)*INDEX('W Assumptions'!$D$22:$F$22,1,D98)</f>
        <v>35000</v>
      </c>
      <c r="O98" s="81" t="n">
        <f aca="false">L98*'W Site Costs'!$K$8</f>
        <v>0</v>
      </c>
      <c r="P98" s="81" t="n">
        <f aca="false">SUM('W Site Costs'!$L$8:$Q$8)*F98*INDEX('W Assumptions'!$D$35:$F$35,1,D98)*INDEX('W Assumptions'!$D$22:$F$22,1,D98)</f>
        <v>19500</v>
      </c>
      <c r="Q98" s="81" t="n">
        <f aca="false">L98*'W Site Costs'!$R$8*INDEX('W Assumptions'!$D$17:$F$17,1,D98)</f>
        <v>13120</v>
      </c>
      <c r="R98" s="112" t="n">
        <f aca="false">L98*'W Sites'!$M$8</f>
        <v>0</v>
      </c>
      <c r="S98" s="81" t="n">
        <f aca="false">SUM(M98:R98)</f>
        <v>115646</v>
      </c>
      <c r="T98" s="81" t="n">
        <f aca="false">L98-S98</f>
        <v>48354</v>
      </c>
      <c r="U98" s="81" t="n">
        <f aca="false">IF(C98='W Budget &amp; Owners'!$I$8,'W Budget &amp; Owners'!$F$8*'W Sites'!$G$8,0)</f>
        <v>0</v>
      </c>
      <c r="V98" s="81" t="n">
        <f aca="false">'W Sites'!$G$8*'W Budget &amp; Owners'!$E$8*INDEX('W Assumptions'!$D$27:$F$27,1,D98)*(IF(C98='W Budget &amp; Owners'!$I$8,'W Assumptions'!$D$65,0)+IF(C98=DATE(YEAR('W Sites'!$F$8),MONTH('W Sites'!$F$8),1),1-'W Assumptions'!$D$65,0))+'W Sites'!$G$8*'W Budget &amp; Owners'!$E$8*IF(C98=DATE(2027,9,1),'W Assumptions'!$D$67,IF(C98=DATE(2028,9,1),'W Assumptions'!$D$69,0))</f>
        <v>0</v>
      </c>
      <c r="W98" s="81" t="n">
        <f aca="false">IF(((YEAR(C98)-YEAR('W Sites'!$F$8))*12+MONTH(C98)-MONTH('W Sites'!$F$8))&lt;'W Budget &amp; Owners'!$H$8,'W Budget &amp; Owners'!$E$8/'W Budget &amp; Owners'!$H$8*F98,0)+IF(C98&gt;=DATE(2027,9,1),'W Budget &amp; Owners'!$E$8*'W Assumptions'!$D$67/'W Budget &amp; Owners'!$H$8*F98,0)+IF(C98&gt;=DATE(2028,9,1),'W Budget &amp; Owners'!$E$8*'W Assumptions'!$D$69/'W Budget &amp; Owners'!$H$8*F98,0)</f>
        <v>10000</v>
      </c>
      <c r="X98" s="81" t="n">
        <f aca="false">IF(C98='W Budget &amp; Owners'!$I$8,'W Budget &amp; Owners'!$G$8*'W Sites'!$G$8,0)</f>
        <v>0</v>
      </c>
      <c r="Y98" s="112" t="n">
        <f aca="false">IF(SUM($G$96:$G$105)=0,0,'W Fees &amp; KPI'!$Q$15*G98/SUM($G$96:$G$105))</f>
        <v>2295.7588768116</v>
      </c>
      <c r="Z98" s="119" t="n">
        <f aca="false">IF(SUM($G$96:$G$105)=0,0,SUM('W Fees &amp; KPI'!$J$15,'W Fees &amp; KPI'!$M$15)*G98/SUM($G$96:$G$105))</f>
        <v>4086.25</v>
      </c>
      <c r="AA98" s="117" t="n">
        <f aca="false">T98-U98-Z98-Y98</f>
        <v>41971.9911231884</v>
      </c>
      <c r="AB98" s="119" t="n">
        <f aca="false">IF('W Fees &amp; KPI'!$D$15=0,0,T98-U98-Z98)</f>
        <v>44267.75</v>
      </c>
    </row>
    <row r="99" customFormat="false" ht="21" hidden="false" customHeight="true" outlineLevel="0" collapsed="false">
      <c r="C99" s="144" t="n">
        <f aca="false">46539</f>
        <v>46539</v>
      </c>
      <c r="D99" s="81" t="n">
        <f aca="false">1</f>
        <v>1</v>
      </c>
      <c r="E99" s="81" t="str">
        <f aca="false">'W Sites'!C9</f>
        <v>S04</v>
      </c>
      <c r="F99" s="145" t="n">
        <f aca="false">'W Sites'!$G$9*MAX(0,EOMONTH(C99,0)-MAX(C99,'W Sites'!$F$9)+1)/DAY(EOMONTH(C99,0))</f>
        <v>1</v>
      </c>
      <c r="G99" s="145" t="n">
        <f aca="false">'W Sites'!$G$9*MAX(0,EOMONTH(C99,0)-MAX(C99,'W Sites'!$F$9,'W Assumptions'!$D$58)+1)/DAY(EOMONTH(C99,0))</f>
        <v>1</v>
      </c>
      <c r="H99" s="81" t="n">
        <f aca="false">'W Sites'!$H$9*F99*'W Sites'!$I$9*IF(((YEAR(C99)-YEAR('W Sites'!$F$9))*12+MONTH(C99)-MONTH('W Sites'!$F$9))=0,'W Assumptions'!$D$62,IF(((YEAR(C99)-YEAR('W Sites'!$F$9))*12+MONTH(C99)-MONTH('W Sites'!$F$9))=1,'W Assumptions'!$D$63,1))*INDEX('W Assumptions'!$D$7:$F$7,1,D99)*INDEX('W Assumptions'!$D$32:$F$32,1,D99)*INDEX('W Assumptions'!$D$80:$D$91,MONTH(C99),1)/AVERAGE('W Assumptions'!$D$80:$D$91)</f>
        <v>1597.22222222222</v>
      </c>
      <c r="I99" s="81" t="n">
        <f aca="false">H99*'W Sites'!$J$9/(1+'W Assumptions'!$D$39)*INDEX('W Assumptions'!$D$12:$F$12,1,D99)*INDEX('W Assumptions'!$D$33:$F$33,1,D99)</f>
        <v>90277.7777777778</v>
      </c>
      <c r="J99" s="81" t="n">
        <f aca="false">H99*'W Sites'!$K$9/(1+'W Assumptions'!$D$39)*INDEX('W Assumptions'!$D$12:$F$12,1,D99)*INDEX('W Assumptions'!$D$33:$F$33,1,D99)</f>
        <v>9722.22222222222</v>
      </c>
      <c r="K99" s="81" t="n">
        <f aca="false">'W Sites'!$L$9*F99*IF(((YEAR(C99)-YEAR('W Sites'!$F$9))*12+MONTH(C99)-MONTH('W Sites'!$F$9))=0,'W Assumptions'!$D$62,IF(((YEAR(C99)-YEAR('W Sites'!$F$9))*12+MONTH(C99)-MONTH('W Sites'!$F$9))=1,'W Assumptions'!$D$63,1))*INDEX('W Assumptions'!$D$7:$F$7,1,D99)*INDEX('W Assumptions'!$D$32:$F$32,1,D99)</f>
        <v>15000</v>
      </c>
      <c r="L99" s="81" t="n">
        <f aca="false">SUM(I99:K99)</f>
        <v>115000</v>
      </c>
      <c r="M99" s="81" t="n">
        <f aca="false">'W Site Costs'!$I$9*F99*INDEX('W Assumptions'!$D$34:$F$34,1,D99)*INDEX('W Assumptions'!$D$22:$F$22,1,D99)</f>
        <v>37760</v>
      </c>
      <c r="N99" s="81" t="n">
        <f aca="false">'W Site Costs'!$J$9*F99*INDEX('W Assumptions'!$D$35:$F$35,1,D99)*INDEX('W Assumptions'!$D$22:$F$22,1,D99)</f>
        <v>22000</v>
      </c>
      <c r="O99" s="81" t="n">
        <f aca="false">L99*'W Site Costs'!$K$9</f>
        <v>0</v>
      </c>
      <c r="P99" s="81" t="n">
        <f aca="false">SUM('W Site Costs'!$L$9:$Q$9)*F99*INDEX('W Assumptions'!$D$35:$F$35,1,D99)*INDEX('W Assumptions'!$D$22:$F$22,1,D99)</f>
        <v>15500</v>
      </c>
      <c r="Q99" s="81" t="n">
        <f aca="false">L99*'W Site Costs'!$R$9*INDEX('W Assumptions'!$D$17:$F$17,1,D99)</f>
        <v>9200</v>
      </c>
      <c r="R99" s="112" t="n">
        <f aca="false">L99*'W Sites'!$M$9</f>
        <v>0</v>
      </c>
      <c r="S99" s="81" t="n">
        <f aca="false">SUM(M99:R99)</f>
        <v>84460</v>
      </c>
      <c r="T99" s="81" t="n">
        <f aca="false">L99-S99</f>
        <v>30540</v>
      </c>
      <c r="U99" s="81" t="n">
        <f aca="false">IF(C99='W Budget &amp; Owners'!$I$9,'W Budget &amp; Owners'!$F$9*'W Sites'!$G$9,0)</f>
        <v>0</v>
      </c>
      <c r="V99" s="81" t="n">
        <f aca="false">'W Sites'!$G$9*'W Budget &amp; Owners'!$E$9*INDEX('W Assumptions'!$D$27:$F$27,1,D99)*(IF(C99='W Budget &amp; Owners'!$I$9,'W Assumptions'!$D$65,0)+IF(C99=DATE(YEAR('W Sites'!$F$9),MONTH('W Sites'!$F$9),1),1-'W Assumptions'!$D$65,0))+'W Sites'!$G$9*'W Budget &amp; Owners'!$E$9*IF(C99=DATE(2027,9,1),'W Assumptions'!$D$67,IF(C99=DATE(2028,9,1),'W Assumptions'!$D$69,0))</f>
        <v>0</v>
      </c>
      <c r="W99" s="81" t="n">
        <f aca="false">IF(((YEAR(C99)-YEAR('W Sites'!$F$9))*12+MONTH(C99)-MONTH('W Sites'!$F$9))&lt;'W Budget &amp; Owners'!$H$9,'W Budget &amp; Owners'!$E$9/'W Budget &amp; Owners'!$H$9*F99,0)+IF(C99&gt;=DATE(2027,9,1),'W Budget &amp; Owners'!$E$9*'W Assumptions'!$D$67/'W Budget &amp; Owners'!$H$9*F99,0)+IF(C99&gt;=DATE(2028,9,1),'W Budget &amp; Owners'!$E$9*'W Assumptions'!$D$69/'W Budget &amp; Owners'!$H$9*F99,0)</f>
        <v>8333.33333333333</v>
      </c>
      <c r="X99" s="81" t="n">
        <f aca="false">IF(C99='W Budget &amp; Owners'!$I$9,'W Budget &amp; Owners'!$G$9*'W Sites'!$G$9,0)</f>
        <v>0</v>
      </c>
      <c r="Y99" s="112" t="n">
        <f aca="false">IF(SUM($G$96:$G$105)=0,0,'W Fees &amp; KPI'!$Q$15*G99/SUM($G$96:$G$105))</f>
        <v>2295.7588768116</v>
      </c>
      <c r="Z99" s="119" t="n">
        <f aca="false">IF(SUM($G$96:$G$105)=0,0,SUM('W Fees &amp; KPI'!$J$15,'W Fees &amp; KPI'!$M$15)*G99/SUM($G$96:$G$105))</f>
        <v>4086.25</v>
      </c>
      <c r="AA99" s="117" t="n">
        <f aca="false">T99-U99-Z99-Y99</f>
        <v>24157.9911231884</v>
      </c>
      <c r="AB99" s="119" t="n">
        <f aca="false">IF('W Fees &amp; KPI'!$D$15=0,0,T99-U99-Z99)</f>
        <v>26453.75</v>
      </c>
    </row>
    <row r="100" customFormat="false" ht="21" hidden="false" customHeight="true" outlineLevel="0" collapsed="false">
      <c r="C100" s="144" t="n">
        <f aca="false">46539</f>
        <v>46539</v>
      </c>
      <c r="D100" s="81" t="n">
        <f aca="false">1</f>
        <v>1</v>
      </c>
      <c r="E100" s="81" t="str">
        <f aca="false">'W Sites'!C10</f>
        <v>S05</v>
      </c>
      <c r="F100" s="145" t="n">
        <f aca="false">'W Sites'!$G$10*MAX(0,EOMONTH(C100,0)-MAX(C100,'W Sites'!$F$10)+1)/DAY(EOMONTH(C100,0))</f>
        <v>1</v>
      </c>
      <c r="G100" s="145" t="n">
        <f aca="false">'W Sites'!$G$10*MAX(0,EOMONTH(C100,0)-MAX(C100,'W Sites'!$F$10,'W Assumptions'!$D$58)+1)/DAY(EOMONTH(C100,0))</f>
        <v>1</v>
      </c>
      <c r="H100" s="81" t="n">
        <f aca="false">'W Sites'!$H$10*F100*'W Sites'!$I$10*IF(((YEAR(C100)-YEAR('W Sites'!$F$10))*12+MONTH(C100)-MONTH('W Sites'!$F$10))=0,'W Assumptions'!$D$62,IF(((YEAR(C100)-YEAR('W Sites'!$F$10))*12+MONTH(C100)-MONTH('W Sites'!$F$10))=1,'W Assumptions'!$D$63,1))*INDEX('W Assumptions'!$D$7:$F$7,1,D100)*INDEX('W Assumptions'!$D$32:$F$32,1,D100)*INDEX('W Assumptions'!$D$80:$D$91,MONTH(C100),1)/AVERAGE('W Assumptions'!$D$80:$D$91)</f>
        <v>2041.64383561644</v>
      </c>
      <c r="I100" s="81" t="n">
        <f aca="false">H100*'W Sites'!$J$10/(1+'W Assumptions'!$D$39)*INDEX('W Assumptions'!$D$12:$F$12,1,D100)*INDEX('W Assumptions'!$D$33:$F$33,1,D100)</f>
        <v>115397.260273973</v>
      </c>
      <c r="J100" s="81" t="n">
        <f aca="false">H100*'W Sites'!$K$10/(1+'W Assumptions'!$D$39)*INDEX('W Assumptions'!$D$12:$F$12,1,D100)*INDEX('W Assumptions'!$D$33:$F$33,1,D100)</f>
        <v>14202.7397260274</v>
      </c>
      <c r="K100" s="81" t="n">
        <f aca="false">'W Sites'!$L$10*F100*IF(((YEAR(C100)-YEAR('W Sites'!$F$10))*12+MONTH(C100)-MONTH('W Sites'!$F$10))=0,'W Assumptions'!$D$62,IF(((YEAR(C100)-YEAR('W Sites'!$F$10))*12+MONTH(C100)-MONTH('W Sites'!$F$10))=1,'W Assumptions'!$D$63,1))*INDEX('W Assumptions'!$D$7:$F$7,1,D100)*INDEX('W Assumptions'!$D$32:$F$32,1,D100)</f>
        <v>18000</v>
      </c>
      <c r="L100" s="81" t="n">
        <f aca="false">SUM(I100:K100)</f>
        <v>147600</v>
      </c>
      <c r="M100" s="81" t="n">
        <f aca="false">'W Site Costs'!$I$10*F100*INDEX('W Assumptions'!$D$34:$F$34,1,D100)*INDEX('W Assumptions'!$D$22:$F$22,1,D100)</f>
        <v>48026</v>
      </c>
      <c r="N100" s="81" t="n">
        <f aca="false">'W Site Costs'!$J$10*F100*INDEX('W Assumptions'!$D$35:$F$35,1,D100)*INDEX('W Assumptions'!$D$22:$F$22,1,D100)</f>
        <v>30000</v>
      </c>
      <c r="O100" s="81" t="n">
        <f aca="false">L100*'W Site Costs'!$K$10</f>
        <v>0</v>
      </c>
      <c r="P100" s="81" t="n">
        <f aca="false">SUM('W Site Costs'!$L$10:$Q$10)*F100*INDEX('W Assumptions'!$D$35:$F$35,1,D100)*INDEX('W Assumptions'!$D$22:$F$22,1,D100)</f>
        <v>19000</v>
      </c>
      <c r="Q100" s="81" t="n">
        <f aca="false">L100*'W Site Costs'!$R$10*INDEX('W Assumptions'!$D$17:$F$17,1,D100)</f>
        <v>11808</v>
      </c>
      <c r="R100" s="112" t="n">
        <f aca="false">L100*'W Sites'!$M$10</f>
        <v>0</v>
      </c>
      <c r="S100" s="81" t="n">
        <f aca="false">SUM(M100:R100)</f>
        <v>108834</v>
      </c>
      <c r="T100" s="81" t="n">
        <f aca="false">L100-S100</f>
        <v>38766</v>
      </c>
      <c r="U100" s="81" t="n">
        <f aca="false">IF(C100='W Budget &amp; Owners'!$I$10,'W Budget &amp; Owners'!$F$10*'W Sites'!$G$10,0)</f>
        <v>0</v>
      </c>
      <c r="V100" s="81" t="n">
        <f aca="false">'W Sites'!$G$10*'W Budget &amp; Owners'!$E$10*INDEX('W Assumptions'!$D$27:$F$27,1,D100)*(IF(C100='W Budget &amp; Owners'!$I$10,'W Assumptions'!$D$65,0)+IF(C100=DATE(YEAR('W Sites'!$F$10),MONTH('W Sites'!$F$10),1),1-'W Assumptions'!$D$65,0))+'W Sites'!$G$10*'W Budget &amp; Owners'!$E$10*IF(C100=DATE(2027,9,1),'W Assumptions'!$D$67,IF(C100=DATE(2028,9,1),'W Assumptions'!$D$69,0))</f>
        <v>0</v>
      </c>
      <c r="W100" s="81" t="n">
        <f aca="false">IF(((YEAR(C100)-YEAR('W Sites'!$F$10))*12+MONTH(C100)-MONTH('W Sites'!$F$10))&lt;'W Budget &amp; Owners'!$H$10,'W Budget &amp; Owners'!$E$10/'W Budget &amp; Owners'!$H$10*F100,0)+IF(C100&gt;=DATE(2027,9,1),'W Budget &amp; Owners'!$E$10*'W Assumptions'!$D$67/'W Budget &amp; Owners'!$H$10*F100,0)+IF(C100&gt;=DATE(2028,9,1),'W Budget &amp; Owners'!$E$10*'W Assumptions'!$D$69/'W Budget &amp; Owners'!$H$10*F100,0)</f>
        <v>12500</v>
      </c>
      <c r="X100" s="81" t="n">
        <f aca="false">IF(C100='W Budget &amp; Owners'!$I$10,'W Budget &amp; Owners'!$G$10*'W Sites'!$G$10,0)</f>
        <v>0</v>
      </c>
      <c r="Y100" s="112" t="n">
        <f aca="false">IF(SUM($G$96:$G$105)=0,0,'W Fees &amp; KPI'!$Q$15*G100/SUM($G$96:$G$105))</f>
        <v>2295.7588768116</v>
      </c>
      <c r="Z100" s="119" t="n">
        <f aca="false">IF(SUM($G$96:$G$105)=0,0,SUM('W Fees &amp; KPI'!$J$15,'W Fees &amp; KPI'!$M$15)*G100/SUM($G$96:$G$105))</f>
        <v>4086.25</v>
      </c>
      <c r="AA100" s="117" t="n">
        <f aca="false">T100-U100-Z100-Y100</f>
        <v>32383.9911231884</v>
      </c>
      <c r="AB100" s="119" t="n">
        <f aca="false">IF('W Fees &amp; KPI'!$D$15=0,0,T100-U100-Z100)</f>
        <v>34679.75</v>
      </c>
    </row>
    <row r="101" customFormat="false" ht="21" hidden="false" customHeight="true" outlineLevel="0" collapsed="false">
      <c r="C101" s="144" t="n">
        <f aca="false">46539</f>
        <v>46539</v>
      </c>
      <c r="D101" s="81" t="n">
        <f aca="false">1</f>
        <v>1</v>
      </c>
      <c r="E101" s="81" t="str">
        <f aca="false">'W Sites'!C11</f>
        <v>S06</v>
      </c>
      <c r="F101" s="145" t="n">
        <f aca="false">'W Sites'!$G$11*MAX(0,EOMONTH(C101,0)-MAX(C101,'W Sites'!$F$11)+1)/DAY(EOMONTH(C101,0))</f>
        <v>1</v>
      </c>
      <c r="G101" s="145" t="n">
        <f aca="false">'W Sites'!$G$11*MAX(0,EOMONTH(C101,0)-MAX(C101,'W Sites'!$F$11,'W Assumptions'!$D$58)+1)/DAY(EOMONTH(C101,0))</f>
        <v>1</v>
      </c>
      <c r="H101" s="81" t="n">
        <f aca="false">'W Sites'!$H$11*F101*'W Sites'!$I$11*IF(((YEAR(C101)-YEAR('W Sites'!$F$11))*12+MONTH(C101)-MONTH('W Sites'!$F$11))=0,'W Assumptions'!$D$62,IF(((YEAR(C101)-YEAR('W Sites'!$F$11))*12+MONTH(C101)-MONTH('W Sites'!$F$11))=1,'W Assumptions'!$D$63,1))*INDEX('W Assumptions'!$D$7:$F$7,1,D101)*INDEX('W Assumptions'!$D$32:$F$32,1,D101)*INDEX('W Assumptions'!$D$80:$D$91,MONTH(C101),1)/AVERAGE('W Assumptions'!$D$80:$D$91)</f>
        <v>624</v>
      </c>
      <c r="I101" s="81" t="n">
        <f aca="false">H101*'W Sites'!$J$11/(1+'W Assumptions'!$D$39)*INDEX('W Assumptions'!$D$12:$F$12,1,D101)*INDEX('W Assumptions'!$D$33:$F$33,1,D101)</f>
        <v>32556.5217391304</v>
      </c>
      <c r="J101" s="81" t="n">
        <f aca="false">H101*'W Sites'!$K$11/(1+'W Assumptions'!$D$39)*INDEX('W Assumptions'!$D$12:$F$12,1,D101)*INDEX('W Assumptions'!$D$33:$F$33,1,D101)</f>
        <v>1627.82608695652</v>
      </c>
      <c r="K101" s="81" t="n">
        <f aca="false">'W Sites'!$L$11*F101*IF(((YEAR(C101)-YEAR('W Sites'!$F$11))*12+MONTH(C101)-MONTH('W Sites'!$F$11))=0,'W Assumptions'!$D$62,IF(((YEAR(C101)-YEAR('W Sites'!$F$11))*12+MONTH(C101)-MONTH('W Sites'!$F$11))=1,'W Assumptions'!$D$63,1))*INDEX('W Assumptions'!$D$7:$F$7,1,D101)*INDEX('W Assumptions'!$D$32:$F$32,1,D101)</f>
        <v>20000</v>
      </c>
      <c r="L101" s="81" t="n">
        <f aca="false">SUM(I101:K101)</f>
        <v>54184.347826087</v>
      </c>
      <c r="M101" s="81" t="n">
        <f aca="false">'W Site Costs'!$I$11*F101*INDEX('W Assumptions'!$D$34:$F$34,1,D101)*INDEX('W Assumptions'!$D$22:$F$22,1,D101)</f>
        <v>23836</v>
      </c>
      <c r="N101" s="81" t="n">
        <f aca="false">'W Site Costs'!$J$11*F101*INDEX('W Assumptions'!$D$35:$F$35,1,D101)*INDEX('W Assumptions'!$D$22:$F$22,1,D101)</f>
        <v>5000</v>
      </c>
      <c r="O101" s="81" t="n">
        <f aca="false">L101*'W Site Costs'!$K$11</f>
        <v>0</v>
      </c>
      <c r="P101" s="81" t="n">
        <f aca="false">SUM('W Site Costs'!$L$11:$Q$11)*F101*INDEX('W Assumptions'!$D$35:$F$35,1,D101)*INDEX('W Assumptions'!$D$22:$F$22,1,D101)</f>
        <v>8000</v>
      </c>
      <c r="Q101" s="81" t="n">
        <f aca="false">L101*'W Site Costs'!$R$11*INDEX('W Assumptions'!$D$17:$F$17,1,D101)</f>
        <v>5418.4347826087</v>
      </c>
      <c r="R101" s="112" t="n">
        <f aca="false">L101*'W Sites'!$M$11</f>
        <v>0</v>
      </c>
      <c r="S101" s="81" t="n">
        <f aca="false">SUM(M101:R101)</f>
        <v>42254.4347826087</v>
      </c>
      <c r="T101" s="81" t="n">
        <f aca="false">L101-S101</f>
        <v>11929.9130434783</v>
      </c>
      <c r="U101" s="81" t="n">
        <f aca="false">IF(C101='W Budget &amp; Owners'!$I$11,'W Budget &amp; Owners'!$F$11*'W Sites'!$G$11,0)</f>
        <v>0</v>
      </c>
      <c r="V101" s="81" t="n">
        <f aca="false">'W Sites'!$G$11*'W Budget &amp; Owners'!$E$11*INDEX('W Assumptions'!$D$27:$F$27,1,D101)*(IF(C101='W Budget &amp; Owners'!$I$11,'W Assumptions'!$D$65,0)+IF(C101=DATE(YEAR('W Sites'!$F$11),MONTH('W Sites'!$F$11),1),1-'W Assumptions'!$D$65,0))+'W Sites'!$G$11*'W Budget &amp; Owners'!$E$11*IF(C101=DATE(2027,9,1),'W Assumptions'!$D$67,IF(C101=DATE(2028,9,1),'W Assumptions'!$D$69,0))</f>
        <v>0</v>
      </c>
      <c r="W101" s="81" t="n">
        <f aca="false">IF(((YEAR(C101)-YEAR('W Sites'!$F$11))*12+MONTH(C101)-MONTH('W Sites'!$F$11))&lt;'W Budget &amp; Owners'!$H$11,'W Budget &amp; Owners'!$E$11/'W Budget &amp; Owners'!$H$11*F101,0)+IF(C101&gt;=DATE(2027,9,1),'W Budget &amp; Owners'!$E$11*'W Assumptions'!$D$67/'W Budget &amp; Owners'!$H$11*F101,0)+IF(C101&gt;=DATE(2028,9,1),'W Budget &amp; Owners'!$E$11*'W Assumptions'!$D$69/'W Budget &amp; Owners'!$H$11*F101,0)</f>
        <v>2500</v>
      </c>
      <c r="X101" s="81" t="n">
        <f aca="false">IF(C101='W Budget &amp; Owners'!$I$11,'W Budget &amp; Owners'!$G$11*'W Sites'!$G$11,0)</f>
        <v>0</v>
      </c>
      <c r="Y101" s="112" t="n">
        <f aca="false">IF(SUM($G$96:$G$105)=0,0,'W Fees &amp; KPI'!$Q$15*G101/SUM($G$96:$G$105))</f>
        <v>2295.7588768116</v>
      </c>
      <c r="Z101" s="119" t="n">
        <f aca="false">IF(SUM($G$96:$G$105)=0,0,SUM('W Fees &amp; KPI'!$J$15,'W Fees &amp; KPI'!$M$15)*G101/SUM($G$96:$G$105))</f>
        <v>4086.25</v>
      </c>
      <c r="AA101" s="117" t="n">
        <f aca="false">T101-U101-Z101-Y101</f>
        <v>5547.90416666667</v>
      </c>
      <c r="AB101" s="119" t="n">
        <f aca="false">IF('W Fees &amp; KPI'!$D$15=0,0,T101-U101-Z101)</f>
        <v>7843.66304347826</v>
      </c>
    </row>
    <row r="102" customFormat="false" ht="21" hidden="false" customHeight="true" outlineLevel="0" collapsed="false">
      <c r="C102" s="144" t="n">
        <f aca="false">46539</f>
        <v>46539</v>
      </c>
      <c r="D102" s="81" t="n">
        <f aca="false">1</f>
        <v>1</v>
      </c>
      <c r="E102" s="81" t="str">
        <f aca="false">'W Sites'!C12</f>
        <v>S07</v>
      </c>
      <c r="F102" s="145" t="n">
        <f aca="false">'W Sites'!$G$12*MAX(0,EOMONTH(C102,0)-MAX(C102,'W Sites'!$F$12)+1)/DAY(EOMONTH(C102,0))</f>
        <v>1</v>
      </c>
      <c r="G102" s="145" t="n">
        <f aca="false">'W Sites'!$G$12*MAX(0,EOMONTH(C102,0)-MAX(C102,'W Sites'!$F$12,'W Assumptions'!$D$58)+1)/DAY(EOMONTH(C102,0))</f>
        <v>1</v>
      </c>
      <c r="H102" s="81" t="n">
        <f aca="false">'W Sites'!$H$12*F102*'W Sites'!$I$12*IF(((YEAR(C102)-YEAR('W Sites'!$F$12))*12+MONTH(C102)-MONTH('W Sites'!$F$12))=0,'W Assumptions'!$D$62,IF(((YEAR(C102)-YEAR('W Sites'!$F$12))*12+MONTH(C102)-MONTH('W Sites'!$F$12))=1,'W Assumptions'!$D$63,1))*INDEX('W Assumptions'!$D$7:$F$7,1,D102)*INDEX('W Assumptions'!$D$32:$F$32,1,D102)*INDEX('W Assumptions'!$D$80:$D$91,MONTH(C102),1)/AVERAGE('W Assumptions'!$D$80:$D$91)</f>
        <v>728</v>
      </c>
      <c r="I102" s="81" t="n">
        <f aca="false">H102*'W Sites'!$J$12/(1+'W Assumptions'!$D$39)*INDEX('W Assumptions'!$D$12:$F$12,1,D102)*INDEX('W Assumptions'!$D$33:$F$33,1,D102)</f>
        <v>37982.6086956522</v>
      </c>
      <c r="J102" s="81" t="n">
        <f aca="false">H102*'W Sites'!$K$12/(1+'W Assumptions'!$D$39)*INDEX('W Assumptions'!$D$12:$F$12,1,D102)*INDEX('W Assumptions'!$D$33:$F$33,1,D102)</f>
        <v>1899.13043478261</v>
      </c>
      <c r="K102" s="81" t="n">
        <f aca="false">'W Sites'!$L$12*F102*IF(((YEAR(C102)-YEAR('W Sites'!$F$12))*12+MONTH(C102)-MONTH('W Sites'!$F$12))=0,'W Assumptions'!$D$62,IF(((YEAR(C102)-YEAR('W Sites'!$F$12))*12+MONTH(C102)-MONTH('W Sites'!$F$12))=1,'W Assumptions'!$D$63,1))*INDEX('W Assumptions'!$D$7:$F$7,1,D102)*INDEX('W Assumptions'!$D$32:$F$32,1,D102)</f>
        <v>18000</v>
      </c>
      <c r="L102" s="81" t="n">
        <f aca="false">SUM(I102:K102)</f>
        <v>57881.7391304348</v>
      </c>
      <c r="M102" s="81" t="n">
        <f aca="false">'W Site Costs'!$I$12*F102*INDEX('W Assumptions'!$D$34:$F$34,1,D102)*INDEX('W Assumptions'!$D$22:$F$22,1,D102)</f>
        <v>23836</v>
      </c>
      <c r="N102" s="81" t="n">
        <f aca="false">'W Site Costs'!$J$12*F102*INDEX('W Assumptions'!$D$35:$F$35,1,D102)*INDEX('W Assumptions'!$D$22:$F$22,1,D102)</f>
        <v>8000</v>
      </c>
      <c r="O102" s="81" t="n">
        <f aca="false">L102*'W Site Costs'!$K$12</f>
        <v>0</v>
      </c>
      <c r="P102" s="81" t="n">
        <f aca="false">SUM('W Site Costs'!$L$12:$Q$12)*F102*INDEX('W Assumptions'!$D$35:$F$35,1,D102)*INDEX('W Assumptions'!$D$22:$F$22,1,D102)</f>
        <v>8500</v>
      </c>
      <c r="Q102" s="81" t="n">
        <f aca="false">L102*'W Site Costs'!$R$12*INDEX('W Assumptions'!$D$17:$F$17,1,D102)</f>
        <v>5788.17391304348</v>
      </c>
      <c r="R102" s="112" t="n">
        <f aca="false">L102*'W Sites'!$M$12</f>
        <v>0</v>
      </c>
      <c r="S102" s="81" t="n">
        <f aca="false">SUM(M102:R102)</f>
        <v>46124.1739130435</v>
      </c>
      <c r="T102" s="81" t="n">
        <f aca="false">L102-S102</f>
        <v>11757.5652173913</v>
      </c>
      <c r="U102" s="81" t="n">
        <f aca="false">IF(C102='W Budget &amp; Owners'!$I$12,'W Budget &amp; Owners'!$F$12*'W Sites'!$G$12,0)</f>
        <v>0</v>
      </c>
      <c r="V102" s="81" t="n">
        <f aca="false">'W Sites'!$G$12*'W Budget &amp; Owners'!$E$12*INDEX('W Assumptions'!$D$27:$F$27,1,D102)*(IF(C102='W Budget &amp; Owners'!$I$12,'W Assumptions'!$D$65,0)+IF(C102=DATE(YEAR('W Sites'!$F$12),MONTH('W Sites'!$F$12),1),1-'W Assumptions'!$D$65,0))+'W Sites'!$G$12*'W Budget &amp; Owners'!$E$12*IF(C102=DATE(2027,9,1),'W Assumptions'!$D$67,IF(C102=DATE(2028,9,1),'W Assumptions'!$D$69,0))</f>
        <v>0</v>
      </c>
      <c r="W102" s="81" t="n">
        <f aca="false">IF(((YEAR(C102)-YEAR('W Sites'!$F$12))*12+MONTH(C102)-MONTH('W Sites'!$F$12))&lt;'W Budget &amp; Owners'!$H$12,'W Budget &amp; Owners'!$E$12/'W Budget &amp; Owners'!$H$12*F102,0)+IF(C102&gt;=DATE(2027,9,1),'W Budget &amp; Owners'!$E$12*'W Assumptions'!$D$67/'W Budget &amp; Owners'!$H$12*F102,0)+IF(C102&gt;=DATE(2028,9,1),'W Budget &amp; Owners'!$E$12*'W Assumptions'!$D$69/'W Budget &amp; Owners'!$H$12*F102,0)</f>
        <v>7500</v>
      </c>
      <c r="X102" s="81" t="n">
        <f aca="false">IF(C102='W Budget &amp; Owners'!$I$12,'W Budget &amp; Owners'!$G$12*'W Sites'!$G$12,0)</f>
        <v>0</v>
      </c>
      <c r="Y102" s="112" t="n">
        <f aca="false">IF(SUM($G$96:$G$105)=0,0,'W Fees &amp; KPI'!$Q$15*G102/SUM($G$96:$G$105))</f>
        <v>2295.7588768116</v>
      </c>
      <c r="Z102" s="119" t="n">
        <f aca="false">IF(SUM($G$96:$G$105)=0,0,SUM('W Fees &amp; KPI'!$J$15,'W Fees &amp; KPI'!$M$15)*G102/SUM($G$96:$G$105))</f>
        <v>4086.25</v>
      </c>
      <c r="AA102" s="117" t="n">
        <f aca="false">T102-U102-Z102-Y102</f>
        <v>5375.55634057971</v>
      </c>
      <c r="AB102" s="119" t="n">
        <f aca="false">IF('W Fees &amp; KPI'!$D$15=0,0,T102-U102-Z102)</f>
        <v>7671.3152173913</v>
      </c>
    </row>
    <row r="103" customFormat="false" ht="21" hidden="false" customHeight="true" outlineLevel="0" collapsed="false">
      <c r="C103" s="144" t="n">
        <f aca="false">46539</f>
        <v>46539</v>
      </c>
      <c r="D103" s="81" t="n">
        <f aca="false">1</f>
        <v>1</v>
      </c>
      <c r="E103" s="81" t="str">
        <f aca="false">'W Sites'!C13</f>
        <v>S08</v>
      </c>
      <c r="F103" s="145" t="n">
        <f aca="false">'W Sites'!$G$13*MAX(0,EOMONTH(C103,0)-MAX(C103,'W Sites'!$F$13)+1)/DAY(EOMONTH(C103,0))</f>
        <v>1</v>
      </c>
      <c r="G103" s="145" t="n">
        <f aca="false">'W Sites'!$G$13*MAX(0,EOMONTH(C103,0)-MAX(C103,'W Sites'!$F$13,'W Assumptions'!$D$58)+1)/DAY(EOMONTH(C103,0))</f>
        <v>1</v>
      </c>
      <c r="H103" s="81" t="n">
        <f aca="false">'W Sites'!$H$13*F103*'W Sites'!$I$13*IF(((YEAR(C103)-YEAR('W Sites'!$F$13))*12+MONTH(C103)-MONTH('W Sites'!$F$13))=0,'W Assumptions'!$D$62,IF(((YEAR(C103)-YEAR('W Sites'!$F$13))*12+MONTH(C103)-MONTH('W Sites'!$F$13))=1,'W Assumptions'!$D$63,1))*INDEX('W Assumptions'!$D$7:$F$7,1,D103)*INDEX('W Assumptions'!$D$32:$F$32,1,D103)*INDEX('W Assumptions'!$D$80:$D$91,MONTH(C103),1)/AVERAGE('W Assumptions'!$D$80:$D$91)</f>
        <v>3120</v>
      </c>
      <c r="I103" s="81" t="n">
        <f aca="false">H103*'W Sites'!$J$13/(1+'W Assumptions'!$D$39)*INDEX('W Assumptions'!$D$12:$F$12,1,D103)*INDEX('W Assumptions'!$D$33:$F$33,1,D103)</f>
        <v>108521.739130435</v>
      </c>
      <c r="J103" s="81" t="n">
        <f aca="false">H103*'W Sites'!$K$13/(1+'W Assumptions'!$D$39)*INDEX('W Assumptions'!$D$12:$F$12,1,D103)*INDEX('W Assumptions'!$D$33:$F$33,1,D103)</f>
        <v>13565.2173913043</v>
      </c>
      <c r="K103" s="81" t="n">
        <f aca="false">'W Sites'!$L$13*F103*IF(((YEAR(C103)-YEAR('W Sites'!$F$13))*12+MONTH(C103)-MONTH('W Sites'!$F$13))=0,'W Assumptions'!$D$62,IF(((YEAR(C103)-YEAR('W Sites'!$F$13))*12+MONTH(C103)-MONTH('W Sites'!$F$13))=1,'W Assumptions'!$D$63,1))*INDEX('W Assumptions'!$D$7:$F$7,1,D103)*INDEX('W Assumptions'!$D$32:$F$32,1,D103)</f>
        <v>15000</v>
      </c>
      <c r="L103" s="81" t="n">
        <f aca="false">SUM(I103:K103)</f>
        <v>137086.956521739</v>
      </c>
      <c r="M103" s="81" t="n">
        <f aca="false">'W Site Costs'!$I$13*F103*INDEX('W Assumptions'!$D$34:$F$34,1,D103)*INDEX('W Assumptions'!$D$22:$F$22,1,D103)</f>
        <v>53336</v>
      </c>
      <c r="N103" s="81" t="n">
        <f aca="false">'W Site Costs'!$J$13*F103*INDEX('W Assumptions'!$D$35:$F$35,1,D103)*INDEX('W Assumptions'!$D$22:$F$22,1,D103)</f>
        <v>0</v>
      </c>
      <c r="O103" s="81" t="n">
        <f aca="false">L103*'W Site Costs'!$K$13</f>
        <v>13708.6956521739</v>
      </c>
      <c r="P103" s="81" t="n">
        <f aca="false">SUM('W Site Costs'!$L$13:$Q$13)*F103*INDEX('W Assumptions'!$D$35:$F$35,1,D103)*INDEX('W Assumptions'!$D$22:$F$22,1,D103)</f>
        <v>25500</v>
      </c>
      <c r="Q103" s="81" t="n">
        <f aca="false">L103*'W Site Costs'!$R$13*INDEX('W Assumptions'!$D$17:$F$17,1,D103)</f>
        <v>10966.9565217391</v>
      </c>
      <c r="R103" s="112" t="n">
        <f aca="false">L103*'W Sites'!$M$13</f>
        <v>0</v>
      </c>
      <c r="S103" s="81" t="n">
        <f aca="false">SUM(M103:R103)</f>
        <v>103511.652173913</v>
      </c>
      <c r="T103" s="81" t="n">
        <f aca="false">L103-S103</f>
        <v>33575.3043478261</v>
      </c>
      <c r="U103" s="81" t="n">
        <f aca="false">IF(C103='W Budget &amp; Owners'!$I$13,'W Budget &amp; Owners'!$F$13*'W Sites'!$G$13,0)</f>
        <v>0</v>
      </c>
      <c r="V103" s="81" t="n">
        <f aca="false">'W Sites'!$G$13*'W Budget &amp; Owners'!$E$13*INDEX('W Assumptions'!$D$27:$F$27,1,D103)*(IF(C103='W Budget &amp; Owners'!$I$13,'W Assumptions'!$D$65,0)+IF(C103=DATE(YEAR('W Sites'!$F$13),MONTH('W Sites'!$F$13),1),1-'W Assumptions'!$D$65,0))+'W Sites'!$G$13*'W Budget &amp; Owners'!$E$13*IF(C103=DATE(2027,9,1),'W Assumptions'!$D$67,IF(C103=DATE(2028,9,1),'W Assumptions'!$D$69,0))</f>
        <v>0</v>
      </c>
      <c r="W103" s="81" t="n">
        <f aca="false">IF(((YEAR(C103)-YEAR('W Sites'!$F$13))*12+MONTH(C103)-MONTH('W Sites'!$F$13))&lt;'W Budget &amp; Owners'!$H$13,'W Budget &amp; Owners'!$E$13/'W Budget &amp; Owners'!$H$13*F103,0)+IF(C103&gt;=DATE(2027,9,1),'W Budget &amp; Owners'!$E$13*'W Assumptions'!$D$67/'W Budget &amp; Owners'!$H$13*F103,0)+IF(C103&gt;=DATE(2028,9,1),'W Budget &amp; Owners'!$E$13*'W Assumptions'!$D$69/'W Budget &amp; Owners'!$H$13*F103,0)</f>
        <v>20000</v>
      </c>
      <c r="X103" s="81" t="n">
        <f aca="false">IF(C103='W Budget &amp; Owners'!$I$13,'W Budget &amp; Owners'!$G$13*'W Sites'!$G$13,0)</f>
        <v>0</v>
      </c>
      <c r="Y103" s="112" t="n">
        <f aca="false">IF(SUM($G$96:$G$105)=0,0,'W Fees &amp; KPI'!$Q$15*G103/SUM($G$96:$G$105))</f>
        <v>2295.7588768116</v>
      </c>
      <c r="Z103" s="119" t="n">
        <f aca="false">IF(SUM($G$96:$G$105)=0,0,SUM('W Fees &amp; KPI'!$J$15,'W Fees &amp; KPI'!$M$15)*G103/SUM($G$96:$G$105))</f>
        <v>4086.25</v>
      </c>
      <c r="AA103" s="117" t="n">
        <f aca="false">T103-U103-Z103-Y103</f>
        <v>27193.2954710145</v>
      </c>
      <c r="AB103" s="119" t="n">
        <f aca="false">IF('W Fees &amp; KPI'!$D$15=0,0,T103-U103-Z103)</f>
        <v>29489.0543478261</v>
      </c>
    </row>
    <row r="104" customFormat="false" ht="21" hidden="false" customHeight="true" outlineLevel="0" collapsed="false">
      <c r="C104" s="144" t="n">
        <f aca="false">46539</f>
        <v>46539</v>
      </c>
      <c r="D104" s="81" t="n">
        <f aca="false">1</f>
        <v>1</v>
      </c>
      <c r="E104" s="81" t="str">
        <f aca="false">'W Sites'!C14</f>
        <v>S09</v>
      </c>
      <c r="F104" s="145" t="n">
        <f aca="false">'W Sites'!$G$14*MAX(0,EOMONTH(C104,0)-MAX(C104,'W Sites'!$F$14)+1)/DAY(EOMONTH(C104,0))</f>
        <v>0</v>
      </c>
      <c r="G104" s="145" t="n">
        <f aca="false">'W Sites'!$G$14*MAX(0,EOMONTH(C104,0)-MAX(C104,'W Sites'!$F$14,'W Assumptions'!$D$58)+1)/DAY(EOMONTH(C104,0))</f>
        <v>0</v>
      </c>
      <c r="H104" s="81" t="n">
        <f aca="false">'W Sites'!$H$14*F104*'W Sites'!$I$14*IF(((YEAR(C104)-YEAR('W Sites'!$F$14))*12+MONTH(C104)-MONTH('W Sites'!$F$14))=0,'W Assumptions'!$D$62,IF(((YEAR(C104)-YEAR('W Sites'!$F$14))*12+MONTH(C104)-MONTH('W Sites'!$F$14))=1,'W Assumptions'!$D$63,1))*INDEX('W Assumptions'!$D$7:$F$7,1,D104)*INDEX('W Assumptions'!$D$32:$F$32,1,D104)*INDEX('W Assumptions'!$D$80:$D$91,MONTH(C104),1)/AVERAGE('W Assumptions'!$D$80:$D$91)</f>
        <v>0</v>
      </c>
      <c r="I104" s="81" t="n">
        <f aca="false">H104*'W Sites'!$J$14/(1+'W Assumptions'!$D$39)*INDEX('W Assumptions'!$D$12:$F$12,1,D104)*INDEX('W Assumptions'!$D$33:$F$33,1,D104)</f>
        <v>0</v>
      </c>
      <c r="J104" s="81" t="n">
        <f aca="false">H104*'W Sites'!$K$14/(1+'W Assumptions'!$D$39)*INDEX('W Assumptions'!$D$12:$F$12,1,D104)*INDEX('W Assumptions'!$D$33:$F$33,1,D104)</f>
        <v>0</v>
      </c>
      <c r="K104" s="81" t="n">
        <f aca="false">'W Sites'!$L$14*F104*IF(((YEAR(C104)-YEAR('W Sites'!$F$14))*12+MONTH(C104)-MONTH('W Sites'!$F$14))=0,'W Assumptions'!$D$62,IF(((YEAR(C104)-YEAR('W Sites'!$F$14))*12+MONTH(C104)-MONTH('W Sites'!$F$14))=1,'W Assumptions'!$D$63,1))*INDEX('W Assumptions'!$D$7:$F$7,1,D104)*INDEX('W Assumptions'!$D$32:$F$32,1,D104)</f>
        <v>0</v>
      </c>
      <c r="L104" s="81" t="n">
        <f aca="false">SUM(I104:K104)</f>
        <v>0</v>
      </c>
      <c r="M104" s="81" t="n">
        <f aca="false">'W Site Costs'!$I$14*F104*INDEX('W Assumptions'!$D$34:$F$34,1,D104)*INDEX('W Assumptions'!$D$22:$F$22,1,D104)</f>
        <v>0</v>
      </c>
      <c r="N104" s="81" t="n">
        <f aca="false">'W Site Costs'!$J$14*F104*INDEX('W Assumptions'!$D$35:$F$35,1,D104)*INDEX('W Assumptions'!$D$22:$F$22,1,D104)</f>
        <v>0</v>
      </c>
      <c r="O104" s="81" t="n">
        <f aca="false">L104*'W Site Costs'!$K$14</f>
        <v>0</v>
      </c>
      <c r="P104" s="81" t="n">
        <f aca="false">SUM('W Site Costs'!$L$14:$Q$14)*F104*INDEX('W Assumptions'!$D$35:$F$35,1,D104)*INDEX('W Assumptions'!$D$22:$F$22,1,D104)</f>
        <v>0</v>
      </c>
      <c r="Q104" s="81" t="n">
        <f aca="false">L104*'W Site Costs'!$R$14*INDEX('W Assumptions'!$D$17:$F$17,1,D104)</f>
        <v>0</v>
      </c>
      <c r="R104" s="112" t="n">
        <f aca="false">L104*'W Sites'!$M$14</f>
        <v>0</v>
      </c>
      <c r="S104" s="81" t="n">
        <f aca="false">SUM(M104:R104)</f>
        <v>0</v>
      </c>
      <c r="T104" s="81" t="n">
        <f aca="false">L104-S104</f>
        <v>0</v>
      </c>
      <c r="U104" s="81" t="n">
        <f aca="false">IF(C104='W Budget &amp; Owners'!$I$14,'W Budget &amp; Owners'!$F$14*'W Sites'!$G$14,0)</f>
        <v>0</v>
      </c>
      <c r="V104" s="81" t="n">
        <f aca="false">'W Sites'!$G$14*'W Budget &amp; Owners'!$E$14*INDEX('W Assumptions'!$D$27:$F$27,1,D104)*(IF(C104='W Budget &amp; Owners'!$I$14,'W Assumptions'!$D$65,0)+IF(C104=DATE(YEAR('W Sites'!$F$14),MONTH('W Sites'!$F$14),1),1-'W Assumptions'!$D$65,0))+'W Sites'!$G$14*'W Budget &amp; Owners'!$E$14*IF(C104=DATE(2027,9,1),'W Assumptions'!$D$67,IF(C104=DATE(2028,9,1),'W Assumptions'!$D$69,0))</f>
        <v>0</v>
      </c>
      <c r="W104" s="81" t="n">
        <f aca="false">IF(((YEAR(C104)-YEAR('W Sites'!$F$14))*12+MONTH(C104)-MONTH('W Sites'!$F$14))&lt;'W Budget &amp; Owners'!$H$14,'W Budget &amp; Owners'!$E$14/'W Budget &amp; Owners'!$H$14*F104,0)+IF(C104&gt;=DATE(2027,9,1),'W Budget &amp; Owners'!$E$14*'W Assumptions'!$D$67/'W Budget &amp; Owners'!$H$14*F104,0)+IF(C104&gt;=DATE(2028,9,1),'W Budget &amp; Owners'!$E$14*'W Assumptions'!$D$69/'W Budget &amp; Owners'!$H$14*F104,0)</f>
        <v>0</v>
      </c>
      <c r="X104" s="81" t="n">
        <f aca="false">IF(C104='W Budget &amp; Owners'!$I$14,'W Budget &amp; Owners'!$G$14*'W Sites'!$G$14,0)</f>
        <v>0</v>
      </c>
      <c r="Y104" s="112" t="n">
        <f aca="false">IF(SUM($G$96:$G$105)=0,0,'W Fees &amp; KPI'!$Q$15*G104/SUM($G$96:$G$105))</f>
        <v>0</v>
      </c>
      <c r="Z104" s="119" t="n">
        <f aca="false">IF(SUM($G$96:$G$105)=0,0,SUM('W Fees &amp; KPI'!$J$15,'W Fees &amp; KPI'!$M$15)*G104/SUM($G$96:$G$105))</f>
        <v>0</v>
      </c>
      <c r="AA104" s="117" t="n">
        <f aca="false">T104-U104-Z104-Y104</f>
        <v>0</v>
      </c>
      <c r="AB104" s="119" t="n">
        <f aca="false">IF('W Fees &amp; KPI'!$D$15=0,0,T104-U104-Z104)</f>
        <v>0</v>
      </c>
    </row>
    <row r="105" customFormat="false" ht="21" hidden="false" customHeight="true" outlineLevel="0" collapsed="false">
      <c r="C105" s="144" t="n">
        <f aca="false">46539</f>
        <v>46539</v>
      </c>
      <c r="D105" s="81" t="n">
        <f aca="false">1</f>
        <v>1</v>
      </c>
      <c r="E105" s="81" t="str">
        <f aca="false">'W Sites'!C15</f>
        <v>S10</v>
      </c>
      <c r="F105" s="145" t="n">
        <f aca="false">'W Sites'!$G$15*MAX(0,EOMONTH(C105,0)-MAX(C105,'W Sites'!$F$15)+1)/DAY(EOMONTH(C105,0))</f>
        <v>0</v>
      </c>
      <c r="G105" s="145" t="n">
        <f aca="false">'W Sites'!$G$15*MAX(0,EOMONTH(C105,0)-MAX(C105,'W Sites'!$F$15,'W Assumptions'!$D$58)+1)/DAY(EOMONTH(C105,0))</f>
        <v>0</v>
      </c>
      <c r="H105" s="81" t="n">
        <f aca="false">'W Sites'!$H$15*F105*'W Sites'!$I$15*IF(((YEAR(C105)-YEAR('W Sites'!$F$15))*12+MONTH(C105)-MONTH('W Sites'!$F$15))=0,'W Assumptions'!$D$62,IF(((YEAR(C105)-YEAR('W Sites'!$F$15))*12+MONTH(C105)-MONTH('W Sites'!$F$15))=1,'W Assumptions'!$D$63,1))*INDEX('W Assumptions'!$D$7:$F$7,1,D105)*INDEX('W Assumptions'!$D$32:$F$32,1,D105)*INDEX('W Assumptions'!$D$80:$D$91,MONTH(C105),1)/AVERAGE('W Assumptions'!$D$80:$D$91)</f>
        <v>0</v>
      </c>
      <c r="I105" s="81" t="n">
        <f aca="false">H105*'W Sites'!$J$15/(1+'W Assumptions'!$D$39)*INDEX('W Assumptions'!$D$12:$F$12,1,D105)*INDEX('W Assumptions'!$D$33:$F$33,1,D105)</f>
        <v>0</v>
      </c>
      <c r="J105" s="81" t="n">
        <f aca="false">H105*'W Sites'!$K$15/(1+'W Assumptions'!$D$39)*INDEX('W Assumptions'!$D$12:$F$12,1,D105)*INDEX('W Assumptions'!$D$33:$F$33,1,D105)</f>
        <v>0</v>
      </c>
      <c r="K105" s="81" t="n">
        <f aca="false">'W Sites'!$L$15*F105*IF(((YEAR(C105)-YEAR('W Sites'!$F$15))*12+MONTH(C105)-MONTH('W Sites'!$F$15))=0,'W Assumptions'!$D$62,IF(((YEAR(C105)-YEAR('W Sites'!$F$15))*12+MONTH(C105)-MONTH('W Sites'!$F$15))=1,'W Assumptions'!$D$63,1))*INDEX('W Assumptions'!$D$7:$F$7,1,D105)*INDEX('W Assumptions'!$D$32:$F$32,1,D105)</f>
        <v>0</v>
      </c>
      <c r="L105" s="81" t="n">
        <f aca="false">SUM(I105:K105)</f>
        <v>0</v>
      </c>
      <c r="M105" s="81" t="n">
        <f aca="false">'W Site Costs'!$I$15*F105*INDEX('W Assumptions'!$D$34:$F$34,1,D105)*INDEX('W Assumptions'!$D$22:$F$22,1,D105)</f>
        <v>0</v>
      </c>
      <c r="N105" s="81" t="n">
        <f aca="false">'W Site Costs'!$J$15*F105*INDEX('W Assumptions'!$D$35:$F$35,1,D105)*INDEX('W Assumptions'!$D$22:$F$22,1,D105)</f>
        <v>0</v>
      </c>
      <c r="O105" s="81" t="n">
        <f aca="false">L105*'W Site Costs'!$K$15</f>
        <v>0</v>
      </c>
      <c r="P105" s="81" t="n">
        <f aca="false">SUM('W Site Costs'!$L$15:$Q$15)*F105*INDEX('W Assumptions'!$D$35:$F$35,1,D105)*INDEX('W Assumptions'!$D$22:$F$22,1,D105)</f>
        <v>0</v>
      </c>
      <c r="Q105" s="81" t="n">
        <f aca="false">L105*'W Site Costs'!$R$15*INDEX('W Assumptions'!$D$17:$F$17,1,D105)</f>
        <v>0</v>
      </c>
      <c r="R105" s="112" t="n">
        <f aca="false">L105*'W Sites'!$M$15</f>
        <v>0</v>
      </c>
      <c r="S105" s="81" t="n">
        <f aca="false">SUM(M105:R105)</f>
        <v>0</v>
      </c>
      <c r="T105" s="81" t="n">
        <f aca="false">L105-S105</f>
        <v>0</v>
      </c>
      <c r="U105" s="81" t="n">
        <f aca="false">IF(C105='W Budget &amp; Owners'!$I$15,'W Budget &amp; Owners'!$F$15*'W Sites'!$G$15,0)</f>
        <v>0</v>
      </c>
      <c r="V105" s="81" t="n">
        <f aca="false">'W Sites'!$G$15*'W Budget &amp; Owners'!$E$15*INDEX('W Assumptions'!$D$27:$F$27,1,D105)*(IF(C105='W Budget &amp; Owners'!$I$15,'W Assumptions'!$D$65,0)+IF(C105=DATE(YEAR('W Sites'!$F$15),MONTH('W Sites'!$F$15),1),1-'W Assumptions'!$D$65,0))+'W Sites'!$G$15*'W Budget &amp; Owners'!$E$15*IF(C105=DATE(2027,9,1),'W Assumptions'!$D$67,IF(C105=DATE(2028,9,1),'W Assumptions'!$D$69,0))</f>
        <v>0</v>
      </c>
      <c r="W105" s="81" t="n">
        <f aca="false">IF(((YEAR(C105)-YEAR('W Sites'!$F$15))*12+MONTH(C105)-MONTH('W Sites'!$F$15))&lt;'W Budget &amp; Owners'!$H$15,'W Budget &amp; Owners'!$E$15/'W Budget &amp; Owners'!$H$15*F105,0)+IF(C105&gt;=DATE(2027,9,1),'W Budget &amp; Owners'!$E$15*'W Assumptions'!$D$67/'W Budget &amp; Owners'!$H$15*F105,0)+IF(C105&gt;=DATE(2028,9,1),'W Budget &amp; Owners'!$E$15*'W Assumptions'!$D$69/'W Budget &amp; Owners'!$H$15*F105,0)</f>
        <v>0</v>
      </c>
      <c r="X105" s="81" t="n">
        <f aca="false">IF(C105='W Budget &amp; Owners'!$I$15,'W Budget &amp; Owners'!$G$15*'W Sites'!$G$15,0)</f>
        <v>0</v>
      </c>
      <c r="Y105" s="112" t="n">
        <f aca="false">IF(SUM($G$96:$G$105)=0,0,'W Fees &amp; KPI'!$Q$15*G105/SUM($G$96:$G$105))</f>
        <v>0</v>
      </c>
      <c r="Z105" s="119" t="n">
        <f aca="false">IF(SUM($G$96:$G$105)=0,0,SUM('W Fees &amp; KPI'!$J$15,'W Fees &amp; KPI'!$M$15)*G105/SUM($G$96:$G$105))</f>
        <v>0</v>
      </c>
      <c r="AA105" s="117" t="n">
        <f aca="false">T105-U105-Z105-Y105</f>
        <v>0</v>
      </c>
      <c r="AB105" s="119" t="n">
        <f aca="false">IF('W Fees &amp; KPI'!$D$15=0,0,T105-U105-Z105)</f>
        <v>0</v>
      </c>
    </row>
    <row r="106" customFormat="false" ht="21" hidden="false" customHeight="true" outlineLevel="0" collapsed="false">
      <c r="C106" s="144" t="n">
        <f aca="false">46569</f>
        <v>46569</v>
      </c>
      <c r="D106" s="81" t="n">
        <f aca="false">1</f>
        <v>1</v>
      </c>
      <c r="E106" s="81" t="str">
        <f aca="false">'W Sites'!C6</f>
        <v>S01</v>
      </c>
      <c r="F106" s="145" t="n">
        <f aca="false">'W Sites'!$G$6*MAX(0,EOMONTH(C106,0)-MAX(C106,'W Sites'!$F$6)+1)/DAY(EOMONTH(C106,0))</f>
        <v>1</v>
      </c>
      <c r="G106" s="145" t="n">
        <f aca="false">'W Sites'!$G$6*MAX(0,EOMONTH(C106,0)-MAX(C106,'W Sites'!$F$6,'W Assumptions'!$D$58)+1)/DAY(EOMONTH(C106,0))</f>
        <v>1</v>
      </c>
      <c r="H106" s="81" t="n">
        <f aca="false">'W Sites'!$D$45*INDEX('W Sites'!$E$65:$E$76,MONTH(C106),1)/SUM('W Sites'!$E$65:$E$76)*F106*(1+'W Sites'!$D$56)^(D106-1)*INDEX('W Assumptions'!$D$7:$F$7,1,D106)</f>
        <v>7032</v>
      </c>
      <c r="I106" s="81" t="n">
        <f aca="false">H106*'W Sites'!$D$46/(1+'W Sites'!$D$54*'W Assumptions'!$D$39)*INDEX('W Assumptions'!$D$12:$F$12,1,D106)</f>
        <v>386760</v>
      </c>
      <c r="J106" s="81" t="n">
        <f aca="false">H106*SUM('W Sites'!$D$47:$D$49)/(1+'W Sites'!$D$54*'W Assumptions'!$D$39)*INDEX('W Assumptions'!$D$12:$F$12,1,D106)</f>
        <v>210960</v>
      </c>
      <c r="K106" s="81" t="n">
        <f aca="false">SUM('W Sites'!$D$50:$D$52)/12*F106*(1+'W Sites'!$D$56)^(D106-1)*INDEX('W Assumptions'!$D$7:$F$7,1,D106)*INDEX('W Assumptions'!$D$12:$F$12,1,D106)/(1+'W Sites'!$D$54*'W Assumptions'!$D$39)</f>
        <v>33333.3333333333</v>
      </c>
      <c r="L106" s="81" t="n">
        <f aca="false">SUM(I106:K106)</f>
        <v>631053.333333333</v>
      </c>
      <c r="M106" s="81" t="n">
        <f aca="false">('W Site Costs'!$I$6+INDEX('W Sites'!$F$65:$F$76,MONTH(C106),1)*'W Site Costs'!$V$6)*F106*(1+'W Sites'!$D$58)^(D106-1)*INDEX('W Assumptions'!$D$22:$F$22,1,D106)</f>
        <v>163000</v>
      </c>
      <c r="N106" s="81" t="n">
        <f aca="false">'W Site Costs'!$J$6*F106*INDEX('W Assumptions'!$D$35:$F$35,1,D106)*INDEX('W Assumptions'!$D$22:$F$22,1,D106)</f>
        <v>15000</v>
      </c>
      <c r="O106" s="81" t="n">
        <f aca="false">L106*'W Site Costs'!$K$6</f>
        <v>0</v>
      </c>
      <c r="P106" s="81" t="n">
        <f aca="false">(SUM('W Site Costs'!$L$6:$Q$6)+INDEX('W Sites'!$F$65:$F$76,MONTH(C106),1)*'W Site Costs'!$W$6)*F106*(1+'W Sites'!$D$58)^(D106-1)*INDEX('W Assumptions'!$D$22:$F$22,1,D106)</f>
        <v>107000</v>
      </c>
      <c r="Q106" s="81" t="n">
        <f aca="false">('W Site Costs'!$X$6+INDEX('W Sites'!$F$65:$F$76,MONTH(C106),1)*'W Site Costs'!$Y$6)*F106*(1+'W Sites'!$D$58)^(D106-1)*INDEX('W Assumptions'!$D$17:$F$17,1,D106)</f>
        <v>25000</v>
      </c>
      <c r="R106" s="112" t="n">
        <f aca="false">L106*'W Sites'!$M$6</f>
        <v>0</v>
      </c>
      <c r="S106" s="81" t="n">
        <f aca="false">SUM(M106:R106)</f>
        <v>310000</v>
      </c>
      <c r="T106" s="81" t="n">
        <f aca="false">L106-S106</f>
        <v>321053.333333333</v>
      </c>
      <c r="U106" s="81" t="n">
        <f aca="false">IF(C106='W Budget &amp; Owners'!$I$6,'W Budget &amp; Owners'!$F$6*'W Sites'!$G$6,0)</f>
        <v>0</v>
      </c>
      <c r="V106" s="81" t="n">
        <f aca="false">'W Sites'!$G$6*'W Budget &amp; Owners'!$E$6*INDEX('W Assumptions'!$D$27:$F$27,1,D106)*(IF(C106='W Budget &amp; Owners'!$I$6,'W Assumptions'!$D$65,0)+IF(C106=DATE(YEAR('W Sites'!$F$6),MONTH('W Sites'!$F$6),1),1-'W Assumptions'!$D$65,0))+'W Sites'!$G$6*'W Budget &amp; Owners'!$E$6*IF(C106=DATE(2027,9,1),'W Assumptions'!$D$67,IF(C106=DATE(2028,9,1),'W Assumptions'!$D$69,0))</f>
        <v>0</v>
      </c>
      <c r="W106" s="81" t="n">
        <f aca="false">IF(((YEAR(C106)-YEAR('W Sites'!$F$6))*12+MONTH(C106)-MONTH('W Sites'!$F$6))&lt;'W Budget &amp; Owners'!$H$6,'W Budget &amp; Owners'!$E$6/'W Budget &amp; Owners'!$H$6*F106,0)+IF(C106&gt;=DATE(2027,9,1),'W Budget &amp; Owners'!$E$6*'W Assumptions'!$D$67/'W Budget &amp; Owners'!$H$6*F106,0)+IF(C106&gt;=DATE(2028,9,1),'W Budget &amp; Owners'!$E$6*'W Assumptions'!$D$69/'W Budget &amp; Owners'!$H$6*F106,0)</f>
        <v>5833.33333333333</v>
      </c>
      <c r="X106" s="81" t="n">
        <f aca="false">IF(C106='W Budget &amp; Owners'!$I$6,'W Budget &amp; Owners'!$G$6*'W Sites'!$G$6,0)</f>
        <v>0</v>
      </c>
      <c r="Y106" s="112" t="n">
        <f aca="false">IF(SUM($G$106:$G$115)=0,0,'W Fees &amp; KPI'!$Q$16*G106/SUM($G$106:$G$115))</f>
        <v>2918.3838768116</v>
      </c>
      <c r="Z106" s="119" t="n">
        <f aca="false">IF(SUM($G$106:$G$115)=0,0,SUM('W Fees &amp; KPI'!$J$16,'W Fees &amp; KPI'!$M$16)*G106/SUM($G$106:$G$115))</f>
        <v>4086.25</v>
      </c>
      <c r="AA106" s="117" t="n">
        <f aca="false">T106-U106-Z106-Y106</f>
        <v>314048.699456522</v>
      </c>
      <c r="AB106" s="119" t="n">
        <f aca="false">IF('W Fees &amp; KPI'!$D$16=0,0,T106-U106-Z106)</f>
        <v>316967.083333333</v>
      </c>
    </row>
    <row r="107" customFormat="false" ht="21" hidden="false" customHeight="true" outlineLevel="0" collapsed="false">
      <c r="C107" s="144" t="n">
        <f aca="false">46569</f>
        <v>46569</v>
      </c>
      <c r="D107" s="81" t="n">
        <f aca="false">1</f>
        <v>1</v>
      </c>
      <c r="E107" s="81" t="str">
        <f aca="false">'W Sites'!C7</f>
        <v>S02</v>
      </c>
      <c r="F107" s="145" t="n">
        <f aca="false">'W Sites'!$G$7*MAX(0,EOMONTH(C107,0)-MAX(C107,'W Sites'!$F$7)+1)/DAY(EOMONTH(C107,0))</f>
        <v>1</v>
      </c>
      <c r="G107" s="145" t="n">
        <f aca="false">'W Sites'!$G$7*MAX(0,EOMONTH(C107,0)-MAX(C107,'W Sites'!$F$7,'W Assumptions'!$D$58)+1)/DAY(EOMONTH(C107,0))</f>
        <v>1</v>
      </c>
      <c r="H107" s="81" t="n">
        <f aca="false">'W Sites'!$H$7*F107*'W Sites'!$I$7*IF(((YEAR(C107)-YEAR('W Sites'!$F$7))*12+MONTH(C107)-MONTH('W Sites'!$F$7))=0,'W Assumptions'!$D$62,IF(((YEAR(C107)-YEAR('W Sites'!$F$7))*12+MONTH(C107)-MONTH('W Sites'!$F$7))=1,'W Assumptions'!$D$63,1))*INDEX('W Assumptions'!$D$7:$F$7,1,D107)*INDEX('W Assumptions'!$D$32:$F$32,1,D107)*INDEX('W Assumptions'!$D$80:$D$91,MONTH(C107),1)/AVERAGE('W Assumptions'!$D$80:$D$91)</f>
        <v>1680</v>
      </c>
      <c r="I107" s="81" t="n">
        <f aca="false">H107*'W Sites'!$J$7/(1+'W Assumptions'!$D$39)*INDEX('W Assumptions'!$D$12:$F$12,1,D107)*INDEX('W Assumptions'!$D$33:$F$33,1,D107)</f>
        <v>51130.4347826087</v>
      </c>
      <c r="J107" s="81" t="n">
        <f aca="false">H107*'W Sites'!$K$7/(1+'W Assumptions'!$D$39)*INDEX('W Assumptions'!$D$12:$F$12,1,D107)*INDEX('W Assumptions'!$D$33:$F$33,1,D107)</f>
        <v>4382.60869565217</v>
      </c>
      <c r="K107" s="81" t="n">
        <f aca="false">'W Sites'!$L$7*F107*IF(((YEAR(C107)-YEAR('W Sites'!$F$7))*12+MONTH(C107)-MONTH('W Sites'!$F$7))=0,'W Assumptions'!$D$62,IF(((YEAR(C107)-YEAR('W Sites'!$F$7))*12+MONTH(C107)-MONTH('W Sites'!$F$7))=1,'W Assumptions'!$D$63,1))*INDEX('W Assumptions'!$D$7:$F$7,1,D107)*INDEX('W Assumptions'!$D$32:$F$32,1,D107)</f>
        <v>5000</v>
      </c>
      <c r="L107" s="81" t="n">
        <f aca="false">SUM(I107:K107)</f>
        <v>60513.0434782609</v>
      </c>
      <c r="M107" s="81" t="n">
        <f aca="false">'W Site Costs'!$I$7*F107*INDEX('W Assumptions'!$D$34:$F$34,1,D107)*INDEX('W Assumptions'!$D$22:$F$22,1,D107)</f>
        <v>32450</v>
      </c>
      <c r="N107" s="81" t="n">
        <f aca="false">'W Site Costs'!$J$7*F107*INDEX('W Assumptions'!$D$35:$F$35,1,D107)*INDEX('W Assumptions'!$D$22:$F$22,1,D107)</f>
        <v>0</v>
      </c>
      <c r="O107" s="81" t="n">
        <f aca="false">L107*'W Site Costs'!$K$7</f>
        <v>9076.95652173913</v>
      </c>
      <c r="P107" s="81" t="n">
        <f aca="false">SUM('W Site Costs'!$L$7:$Q$7)*F107*INDEX('W Assumptions'!$D$35:$F$35,1,D107)*INDEX('W Assumptions'!$D$22:$F$22,1,D107)</f>
        <v>11700</v>
      </c>
      <c r="Q107" s="81" t="n">
        <f aca="false">L107*'W Site Costs'!$R$7*INDEX('W Assumptions'!$D$17:$F$17,1,D107)</f>
        <v>3630.78260869565</v>
      </c>
      <c r="R107" s="112" t="n">
        <f aca="false">L107*'W Sites'!$M$7</f>
        <v>0</v>
      </c>
      <c r="S107" s="81" t="n">
        <f aca="false">SUM(M107:R107)</f>
        <v>56857.7391304348</v>
      </c>
      <c r="T107" s="81" t="n">
        <f aca="false">L107-S107</f>
        <v>3655.30434782609</v>
      </c>
      <c r="U107" s="81" t="n">
        <f aca="false">IF(C107='W Budget &amp; Owners'!$I$7,'W Budget &amp; Owners'!$F$7*'W Sites'!$G$7,0)</f>
        <v>0</v>
      </c>
      <c r="V107" s="81" t="n">
        <f aca="false">'W Sites'!$G$7*'W Budget &amp; Owners'!$E$7*INDEX('W Assumptions'!$D$27:$F$27,1,D107)*(IF(C107='W Budget &amp; Owners'!$I$7,'W Assumptions'!$D$65,0)+IF(C107=DATE(YEAR('W Sites'!$F$7),MONTH('W Sites'!$F$7),1),1-'W Assumptions'!$D$65,0))+'W Sites'!$G$7*'W Budget &amp; Owners'!$E$7*IF(C107=DATE(2027,9,1),'W Assumptions'!$D$67,IF(C107=DATE(2028,9,1),'W Assumptions'!$D$69,0))</f>
        <v>0</v>
      </c>
      <c r="W107" s="81" t="n">
        <f aca="false">IF(((YEAR(C107)-YEAR('W Sites'!$F$7))*12+MONTH(C107)-MONTH('W Sites'!$F$7))&lt;'W Budget &amp; Owners'!$H$7,'W Budget &amp; Owners'!$E$7/'W Budget &amp; Owners'!$H$7*F107,0)+IF(C107&gt;=DATE(2027,9,1),'W Budget &amp; Owners'!$E$7*'W Assumptions'!$D$67/'W Budget &amp; Owners'!$H$7*F107,0)+IF(C107&gt;=DATE(2028,9,1),'W Budget &amp; Owners'!$E$7*'W Assumptions'!$D$69/'W Budget &amp; Owners'!$H$7*F107,0)</f>
        <v>1333.33333333333</v>
      </c>
      <c r="X107" s="81" t="n">
        <f aca="false">IF(C107='W Budget &amp; Owners'!$I$7,'W Budget &amp; Owners'!$G$7*'W Sites'!$G$7,0)</f>
        <v>0</v>
      </c>
      <c r="Y107" s="112" t="n">
        <f aca="false">IF(SUM($G$106:$G$115)=0,0,'W Fees &amp; KPI'!$Q$16*G107/SUM($G$106:$G$115))</f>
        <v>2918.3838768116</v>
      </c>
      <c r="Z107" s="119" t="n">
        <f aca="false">IF(SUM($G$106:$G$115)=0,0,SUM('W Fees &amp; KPI'!$J$16,'W Fees &amp; KPI'!$M$16)*G107/SUM($G$106:$G$115))</f>
        <v>4086.25</v>
      </c>
      <c r="AA107" s="117" t="n">
        <f aca="false">T107-U107-Z107-Y107</f>
        <v>-3349.32952898551</v>
      </c>
      <c r="AB107" s="119" t="n">
        <f aca="false">IF('W Fees &amp; KPI'!$D$16=0,0,T107-U107-Z107)</f>
        <v>-430.945652173912</v>
      </c>
    </row>
    <row r="108" customFormat="false" ht="21" hidden="false" customHeight="true" outlineLevel="0" collapsed="false">
      <c r="C108" s="144" t="n">
        <f aca="false">46569</f>
        <v>46569</v>
      </c>
      <c r="D108" s="81" t="n">
        <f aca="false">1</f>
        <v>1</v>
      </c>
      <c r="E108" s="81" t="str">
        <f aca="false">'W Sites'!C8</f>
        <v>S03</v>
      </c>
      <c r="F108" s="145" t="n">
        <f aca="false">'W Sites'!$G$8*MAX(0,EOMONTH(C108,0)-MAX(C108,'W Sites'!$F$8)+1)/DAY(EOMONTH(C108,0))</f>
        <v>1</v>
      </c>
      <c r="G108" s="145" t="n">
        <f aca="false">'W Sites'!$G$8*MAX(0,EOMONTH(C108,0)-MAX(C108,'W Sites'!$F$8,'W Assumptions'!$D$58)+1)/DAY(EOMONTH(C108,0))</f>
        <v>1</v>
      </c>
      <c r="H108" s="81" t="n">
        <f aca="false">'W Sites'!$H$8*F108*'W Sites'!$I$8*IF(((YEAR(C108)-YEAR('W Sites'!$F$8))*12+MONTH(C108)-MONTH('W Sites'!$F$8))=0,'W Assumptions'!$D$62,IF(((YEAR(C108)-YEAR('W Sites'!$F$8))*12+MONTH(C108)-MONTH('W Sites'!$F$8))=1,'W Assumptions'!$D$63,1))*INDEX('W Assumptions'!$D$7:$F$7,1,D108)*INDEX('W Assumptions'!$D$32:$F$32,1,D108)*INDEX('W Assumptions'!$D$80:$D$91,MONTH(C108),1)/AVERAGE('W Assumptions'!$D$80:$D$91)</f>
        <v>2268.49315068493</v>
      </c>
      <c r="I108" s="81" t="n">
        <f aca="false">H108*'W Sites'!$J$8/(1+'W Assumptions'!$D$39)*INDEX('W Assumptions'!$D$12:$F$12,1,D108)*INDEX('W Assumptions'!$D$33:$F$33,1,D108)</f>
        <v>128219.178082192</v>
      </c>
      <c r="J108" s="81" t="n">
        <f aca="false">H108*'W Sites'!$K$8/(1+'W Assumptions'!$D$39)*INDEX('W Assumptions'!$D$12:$F$12,1,D108)*INDEX('W Assumptions'!$D$33:$F$33,1,D108)</f>
        <v>15780.8219178082</v>
      </c>
      <c r="K108" s="81" t="n">
        <f aca="false">'W Sites'!$L$8*F108*IF(((YEAR(C108)-YEAR('W Sites'!$F$8))*12+MONTH(C108)-MONTH('W Sites'!$F$8))=0,'W Assumptions'!$D$62,IF(((YEAR(C108)-YEAR('W Sites'!$F$8))*12+MONTH(C108)-MONTH('W Sites'!$F$8))=1,'W Assumptions'!$D$63,1))*INDEX('W Assumptions'!$D$7:$F$7,1,D108)*INDEX('W Assumptions'!$D$32:$F$32,1,D108)</f>
        <v>20000</v>
      </c>
      <c r="L108" s="81" t="n">
        <f aca="false">SUM(I108:K108)</f>
        <v>164000</v>
      </c>
      <c r="M108" s="81" t="n">
        <f aca="false">'W Site Costs'!$I$8*F108*INDEX('W Assumptions'!$D$34:$F$34,1,D108)*INDEX('W Assumptions'!$D$22:$F$22,1,D108)</f>
        <v>48026</v>
      </c>
      <c r="N108" s="81" t="n">
        <f aca="false">'W Site Costs'!$J$8*F108*INDEX('W Assumptions'!$D$35:$F$35,1,D108)*INDEX('W Assumptions'!$D$22:$F$22,1,D108)</f>
        <v>35000</v>
      </c>
      <c r="O108" s="81" t="n">
        <f aca="false">L108*'W Site Costs'!$K$8</f>
        <v>0</v>
      </c>
      <c r="P108" s="81" t="n">
        <f aca="false">SUM('W Site Costs'!$L$8:$Q$8)*F108*INDEX('W Assumptions'!$D$35:$F$35,1,D108)*INDEX('W Assumptions'!$D$22:$F$22,1,D108)</f>
        <v>19500</v>
      </c>
      <c r="Q108" s="81" t="n">
        <f aca="false">L108*'W Site Costs'!$R$8*INDEX('W Assumptions'!$D$17:$F$17,1,D108)</f>
        <v>13120</v>
      </c>
      <c r="R108" s="112" t="n">
        <f aca="false">L108*'W Sites'!$M$8</f>
        <v>0</v>
      </c>
      <c r="S108" s="81" t="n">
        <f aca="false">SUM(M108:R108)</f>
        <v>115646</v>
      </c>
      <c r="T108" s="81" t="n">
        <f aca="false">L108-S108</f>
        <v>48354</v>
      </c>
      <c r="U108" s="81" t="n">
        <f aca="false">IF(C108='W Budget &amp; Owners'!$I$8,'W Budget &amp; Owners'!$F$8*'W Sites'!$G$8,0)</f>
        <v>0</v>
      </c>
      <c r="V108" s="81" t="n">
        <f aca="false">'W Sites'!$G$8*'W Budget &amp; Owners'!$E$8*INDEX('W Assumptions'!$D$27:$F$27,1,D108)*(IF(C108='W Budget &amp; Owners'!$I$8,'W Assumptions'!$D$65,0)+IF(C108=DATE(YEAR('W Sites'!$F$8),MONTH('W Sites'!$F$8),1),1-'W Assumptions'!$D$65,0))+'W Sites'!$G$8*'W Budget &amp; Owners'!$E$8*IF(C108=DATE(2027,9,1),'W Assumptions'!$D$67,IF(C108=DATE(2028,9,1),'W Assumptions'!$D$69,0))</f>
        <v>0</v>
      </c>
      <c r="W108" s="81" t="n">
        <f aca="false">IF(((YEAR(C108)-YEAR('W Sites'!$F$8))*12+MONTH(C108)-MONTH('W Sites'!$F$8))&lt;'W Budget &amp; Owners'!$H$8,'W Budget &amp; Owners'!$E$8/'W Budget &amp; Owners'!$H$8*F108,0)+IF(C108&gt;=DATE(2027,9,1),'W Budget &amp; Owners'!$E$8*'W Assumptions'!$D$67/'W Budget &amp; Owners'!$H$8*F108,0)+IF(C108&gt;=DATE(2028,9,1),'W Budget &amp; Owners'!$E$8*'W Assumptions'!$D$69/'W Budget &amp; Owners'!$H$8*F108,0)</f>
        <v>10000</v>
      </c>
      <c r="X108" s="81" t="n">
        <f aca="false">IF(C108='W Budget &amp; Owners'!$I$8,'W Budget &amp; Owners'!$G$8*'W Sites'!$G$8,0)</f>
        <v>0</v>
      </c>
      <c r="Y108" s="112" t="n">
        <f aca="false">IF(SUM($G$106:$G$115)=0,0,'W Fees &amp; KPI'!$Q$16*G108/SUM($G$106:$G$115))</f>
        <v>2918.3838768116</v>
      </c>
      <c r="Z108" s="119" t="n">
        <f aca="false">IF(SUM($G$106:$G$115)=0,0,SUM('W Fees &amp; KPI'!$J$16,'W Fees &amp; KPI'!$M$16)*G108/SUM($G$106:$G$115))</f>
        <v>4086.25</v>
      </c>
      <c r="AA108" s="117" t="n">
        <f aca="false">T108-U108-Z108-Y108</f>
        <v>41349.3661231884</v>
      </c>
      <c r="AB108" s="119" t="n">
        <f aca="false">IF('W Fees &amp; KPI'!$D$16=0,0,T108-U108-Z108)</f>
        <v>44267.75</v>
      </c>
    </row>
    <row r="109" customFormat="false" ht="21" hidden="false" customHeight="true" outlineLevel="0" collapsed="false">
      <c r="C109" s="144" t="n">
        <f aca="false">46569</f>
        <v>46569</v>
      </c>
      <c r="D109" s="81" t="n">
        <f aca="false">1</f>
        <v>1</v>
      </c>
      <c r="E109" s="81" t="str">
        <f aca="false">'W Sites'!C9</f>
        <v>S04</v>
      </c>
      <c r="F109" s="145" t="n">
        <f aca="false">'W Sites'!$G$9*MAX(0,EOMONTH(C109,0)-MAX(C109,'W Sites'!$F$9)+1)/DAY(EOMONTH(C109,0))</f>
        <v>1</v>
      </c>
      <c r="G109" s="145" t="n">
        <f aca="false">'W Sites'!$G$9*MAX(0,EOMONTH(C109,0)-MAX(C109,'W Sites'!$F$9,'W Assumptions'!$D$58)+1)/DAY(EOMONTH(C109,0))</f>
        <v>1</v>
      </c>
      <c r="H109" s="81" t="n">
        <f aca="false">'W Sites'!$H$9*F109*'W Sites'!$I$9*IF(((YEAR(C109)-YEAR('W Sites'!$F$9))*12+MONTH(C109)-MONTH('W Sites'!$F$9))=0,'W Assumptions'!$D$62,IF(((YEAR(C109)-YEAR('W Sites'!$F$9))*12+MONTH(C109)-MONTH('W Sites'!$F$9))=1,'W Assumptions'!$D$63,1))*INDEX('W Assumptions'!$D$7:$F$7,1,D109)*INDEX('W Assumptions'!$D$32:$F$32,1,D109)*INDEX('W Assumptions'!$D$80:$D$91,MONTH(C109),1)/AVERAGE('W Assumptions'!$D$80:$D$91)</f>
        <v>1597.22222222222</v>
      </c>
      <c r="I109" s="81" t="n">
        <f aca="false">H109*'W Sites'!$J$9/(1+'W Assumptions'!$D$39)*INDEX('W Assumptions'!$D$12:$F$12,1,D109)*INDEX('W Assumptions'!$D$33:$F$33,1,D109)</f>
        <v>90277.7777777778</v>
      </c>
      <c r="J109" s="81" t="n">
        <f aca="false">H109*'W Sites'!$K$9/(1+'W Assumptions'!$D$39)*INDEX('W Assumptions'!$D$12:$F$12,1,D109)*INDEX('W Assumptions'!$D$33:$F$33,1,D109)</f>
        <v>9722.22222222222</v>
      </c>
      <c r="K109" s="81" t="n">
        <f aca="false">'W Sites'!$L$9*F109*IF(((YEAR(C109)-YEAR('W Sites'!$F$9))*12+MONTH(C109)-MONTH('W Sites'!$F$9))=0,'W Assumptions'!$D$62,IF(((YEAR(C109)-YEAR('W Sites'!$F$9))*12+MONTH(C109)-MONTH('W Sites'!$F$9))=1,'W Assumptions'!$D$63,1))*INDEX('W Assumptions'!$D$7:$F$7,1,D109)*INDEX('W Assumptions'!$D$32:$F$32,1,D109)</f>
        <v>15000</v>
      </c>
      <c r="L109" s="81" t="n">
        <f aca="false">SUM(I109:K109)</f>
        <v>115000</v>
      </c>
      <c r="M109" s="81" t="n">
        <f aca="false">'W Site Costs'!$I$9*F109*INDEX('W Assumptions'!$D$34:$F$34,1,D109)*INDEX('W Assumptions'!$D$22:$F$22,1,D109)</f>
        <v>37760</v>
      </c>
      <c r="N109" s="81" t="n">
        <f aca="false">'W Site Costs'!$J$9*F109*INDEX('W Assumptions'!$D$35:$F$35,1,D109)*INDEX('W Assumptions'!$D$22:$F$22,1,D109)</f>
        <v>22000</v>
      </c>
      <c r="O109" s="81" t="n">
        <f aca="false">L109*'W Site Costs'!$K$9</f>
        <v>0</v>
      </c>
      <c r="P109" s="81" t="n">
        <f aca="false">SUM('W Site Costs'!$L$9:$Q$9)*F109*INDEX('W Assumptions'!$D$35:$F$35,1,D109)*INDEX('W Assumptions'!$D$22:$F$22,1,D109)</f>
        <v>15500</v>
      </c>
      <c r="Q109" s="81" t="n">
        <f aca="false">L109*'W Site Costs'!$R$9*INDEX('W Assumptions'!$D$17:$F$17,1,D109)</f>
        <v>9200</v>
      </c>
      <c r="R109" s="112" t="n">
        <f aca="false">L109*'W Sites'!$M$9</f>
        <v>0</v>
      </c>
      <c r="S109" s="81" t="n">
        <f aca="false">SUM(M109:R109)</f>
        <v>84460</v>
      </c>
      <c r="T109" s="81" t="n">
        <f aca="false">L109-S109</f>
        <v>30540</v>
      </c>
      <c r="U109" s="81" t="n">
        <f aca="false">IF(C109='W Budget &amp; Owners'!$I$9,'W Budget &amp; Owners'!$F$9*'W Sites'!$G$9,0)</f>
        <v>0</v>
      </c>
      <c r="V109" s="81" t="n">
        <f aca="false">'W Sites'!$G$9*'W Budget &amp; Owners'!$E$9*INDEX('W Assumptions'!$D$27:$F$27,1,D109)*(IF(C109='W Budget &amp; Owners'!$I$9,'W Assumptions'!$D$65,0)+IF(C109=DATE(YEAR('W Sites'!$F$9),MONTH('W Sites'!$F$9),1),1-'W Assumptions'!$D$65,0))+'W Sites'!$G$9*'W Budget &amp; Owners'!$E$9*IF(C109=DATE(2027,9,1),'W Assumptions'!$D$67,IF(C109=DATE(2028,9,1),'W Assumptions'!$D$69,0))</f>
        <v>0</v>
      </c>
      <c r="W109" s="81" t="n">
        <f aca="false">IF(((YEAR(C109)-YEAR('W Sites'!$F$9))*12+MONTH(C109)-MONTH('W Sites'!$F$9))&lt;'W Budget &amp; Owners'!$H$9,'W Budget &amp; Owners'!$E$9/'W Budget &amp; Owners'!$H$9*F109,0)+IF(C109&gt;=DATE(2027,9,1),'W Budget &amp; Owners'!$E$9*'W Assumptions'!$D$67/'W Budget &amp; Owners'!$H$9*F109,0)+IF(C109&gt;=DATE(2028,9,1),'W Budget &amp; Owners'!$E$9*'W Assumptions'!$D$69/'W Budget &amp; Owners'!$H$9*F109,0)</f>
        <v>8333.33333333333</v>
      </c>
      <c r="X109" s="81" t="n">
        <f aca="false">IF(C109='W Budget &amp; Owners'!$I$9,'W Budget &amp; Owners'!$G$9*'W Sites'!$G$9,0)</f>
        <v>0</v>
      </c>
      <c r="Y109" s="112" t="n">
        <f aca="false">IF(SUM($G$106:$G$115)=0,0,'W Fees &amp; KPI'!$Q$16*G109/SUM($G$106:$G$115))</f>
        <v>2918.3838768116</v>
      </c>
      <c r="Z109" s="119" t="n">
        <f aca="false">IF(SUM($G$106:$G$115)=0,0,SUM('W Fees &amp; KPI'!$J$16,'W Fees &amp; KPI'!$M$16)*G109/SUM($G$106:$G$115))</f>
        <v>4086.25</v>
      </c>
      <c r="AA109" s="117" t="n">
        <f aca="false">T109-U109-Z109-Y109</f>
        <v>23535.3661231884</v>
      </c>
      <c r="AB109" s="119" t="n">
        <f aca="false">IF('W Fees &amp; KPI'!$D$16=0,0,T109-U109-Z109)</f>
        <v>26453.75</v>
      </c>
    </row>
    <row r="110" customFormat="false" ht="21" hidden="false" customHeight="true" outlineLevel="0" collapsed="false">
      <c r="C110" s="144" t="n">
        <f aca="false">46569</f>
        <v>46569</v>
      </c>
      <c r="D110" s="81" t="n">
        <f aca="false">1</f>
        <v>1</v>
      </c>
      <c r="E110" s="81" t="str">
        <f aca="false">'W Sites'!C10</f>
        <v>S05</v>
      </c>
      <c r="F110" s="145" t="n">
        <f aca="false">'W Sites'!$G$10*MAX(0,EOMONTH(C110,0)-MAX(C110,'W Sites'!$F$10)+1)/DAY(EOMONTH(C110,0))</f>
        <v>1</v>
      </c>
      <c r="G110" s="145" t="n">
        <f aca="false">'W Sites'!$G$10*MAX(0,EOMONTH(C110,0)-MAX(C110,'W Sites'!$F$10,'W Assumptions'!$D$58)+1)/DAY(EOMONTH(C110,0))</f>
        <v>1</v>
      </c>
      <c r="H110" s="81" t="n">
        <f aca="false">'W Sites'!$H$10*F110*'W Sites'!$I$10*IF(((YEAR(C110)-YEAR('W Sites'!$F$10))*12+MONTH(C110)-MONTH('W Sites'!$F$10))=0,'W Assumptions'!$D$62,IF(((YEAR(C110)-YEAR('W Sites'!$F$10))*12+MONTH(C110)-MONTH('W Sites'!$F$10))=1,'W Assumptions'!$D$63,1))*INDEX('W Assumptions'!$D$7:$F$7,1,D110)*INDEX('W Assumptions'!$D$32:$F$32,1,D110)*INDEX('W Assumptions'!$D$80:$D$91,MONTH(C110),1)/AVERAGE('W Assumptions'!$D$80:$D$91)</f>
        <v>2041.64383561644</v>
      </c>
      <c r="I110" s="81" t="n">
        <f aca="false">H110*'W Sites'!$J$10/(1+'W Assumptions'!$D$39)*INDEX('W Assumptions'!$D$12:$F$12,1,D110)*INDEX('W Assumptions'!$D$33:$F$33,1,D110)</f>
        <v>115397.260273973</v>
      </c>
      <c r="J110" s="81" t="n">
        <f aca="false">H110*'W Sites'!$K$10/(1+'W Assumptions'!$D$39)*INDEX('W Assumptions'!$D$12:$F$12,1,D110)*INDEX('W Assumptions'!$D$33:$F$33,1,D110)</f>
        <v>14202.7397260274</v>
      </c>
      <c r="K110" s="81" t="n">
        <f aca="false">'W Sites'!$L$10*F110*IF(((YEAR(C110)-YEAR('W Sites'!$F$10))*12+MONTH(C110)-MONTH('W Sites'!$F$10))=0,'W Assumptions'!$D$62,IF(((YEAR(C110)-YEAR('W Sites'!$F$10))*12+MONTH(C110)-MONTH('W Sites'!$F$10))=1,'W Assumptions'!$D$63,1))*INDEX('W Assumptions'!$D$7:$F$7,1,D110)*INDEX('W Assumptions'!$D$32:$F$32,1,D110)</f>
        <v>18000</v>
      </c>
      <c r="L110" s="81" t="n">
        <f aca="false">SUM(I110:K110)</f>
        <v>147600</v>
      </c>
      <c r="M110" s="81" t="n">
        <f aca="false">'W Site Costs'!$I$10*F110*INDEX('W Assumptions'!$D$34:$F$34,1,D110)*INDEX('W Assumptions'!$D$22:$F$22,1,D110)</f>
        <v>48026</v>
      </c>
      <c r="N110" s="81" t="n">
        <f aca="false">'W Site Costs'!$J$10*F110*INDEX('W Assumptions'!$D$35:$F$35,1,D110)*INDEX('W Assumptions'!$D$22:$F$22,1,D110)</f>
        <v>30000</v>
      </c>
      <c r="O110" s="81" t="n">
        <f aca="false">L110*'W Site Costs'!$K$10</f>
        <v>0</v>
      </c>
      <c r="P110" s="81" t="n">
        <f aca="false">SUM('W Site Costs'!$L$10:$Q$10)*F110*INDEX('W Assumptions'!$D$35:$F$35,1,D110)*INDEX('W Assumptions'!$D$22:$F$22,1,D110)</f>
        <v>19000</v>
      </c>
      <c r="Q110" s="81" t="n">
        <f aca="false">L110*'W Site Costs'!$R$10*INDEX('W Assumptions'!$D$17:$F$17,1,D110)</f>
        <v>11808</v>
      </c>
      <c r="R110" s="112" t="n">
        <f aca="false">L110*'W Sites'!$M$10</f>
        <v>0</v>
      </c>
      <c r="S110" s="81" t="n">
        <f aca="false">SUM(M110:R110)</f>
        <v>108834</v>
      </c>
      <c r="T110" s="81" t="n">
        <f aca="false">L110-S110</f>
        <v>38766</v>
      </c>
      <c r="U110" s="81" t="n">
        <f aca="false">IF(C110='W Budget &amp; Owners'!$I$10,'W Budget &amp; Owners'!$F$10*'W Sites'!$G$10,0)</f>
        <v>0</v>
      </c>
      <c r="V110" s="81" t="n">
        <f aca="false">'W Sites'!$G$10*'W Budget &amp; Owners'!$E$10*INDEX('W Assumptions'!$D$27:$F$27,1,D110)*(IF(C110='W Budget &amp; Owners'!$I$10,'W Assumptions'!$D$65,0)+IF(C110=DATE(YEAR('W Sites'!$F$10),MONTH('W Sites'!$F$10),1),1-'W Assumptions'!$D$65,0))+'W Sites'!$G$10*'W Budget &amp; Owners'!$E$10*IF(C110=DATE(2027,9,1),'W Assumptions'!$D$67,IF(C110=DATE(2028,9,1),'W Assumptions'!$D$69,0))</f>
        <v>0</v>
      </c>
      <c r="W110" s="81" t="n">
        <f aca="false">IF(((YEAR(C110)-YEAR('W Sites'!$F$10))*12+MONTH(C110)-MONTH('W Sites'!$F$10))&lt;'W Budget &amp; Owners'!$H$10,'W Budget &amp; Owners'!$E$10/'W Budget &amp; Owners'!$H$10*F110,0)+IF(C110&gt;=DATE(2027,9,1),'W Budget &amp; Owners'!$E$10*'W Assumptions'!$D$67/'W Budget &amp; Owners'!$H$10*F110,0)+IF(C110&gt;=DATE(2028,9,1),'W Budget &amp; Owners'!$E$10*'W Assumptions'!$D$69/'W Budget &amp; Owners'!$H$10*F110,0)</f>
        <v>12500</v>
      </c>
      <c r="X110" s="81" t="n">
        <f aca="false">IF(C110='W Budget &amp; Owners'!$I$10,'W Budget &amp; Owners'!$G$10*'W Sites'!$G$10,0)</f>
        <v>0</v>
      </c>
      <c r="Y110" s="112" t="n">
        <f aca="false">IF(SUM($G$106:$G$115)=0,0,'W Fees &amp; KPI'!$Q$16*G110/SUM($G$106:$G$115))</f>
        <v>2918.3838768116</v>
      </c>
      <c r="Z110" s="119" t="n">
        <f aca="false">IF(SUM($G$106:$G$115)=0,0,SUM('W Fees &amp; KPI'!$J$16,'W Fees &amp; KPI'!$M$16)*G110/SUM($G$106:$G$115))</f>
        <v>4086.25</v>
      </c>
      <c r="AA110" s="117" t="n">
        <f aca="false">T110-U110-Z110-Y110</f>
        <v>31761.3661231884</v>
      </c>
      <c r="AB110" s="119" t="n">
        <f aca="false">IF('W Fees &amp; KPI'!$D$16=0,0,T110-U110-Z110)</f>
        <v>34679.75</v>
      </c>
    </row>
    <row r="111" customFormat="false" ht="21" hidden="false" customHeight="true" outlineLevel="0" collapsed="false">
      <c r="C111" s="144" t="n">
        <f aca="false">46569</f>
        <v>46569</v>
      </c>
      <c r="D111" s="81" t="n">
        <f aca="false">1</f>
        <v>1</v>
      </c>
      <c r="E111" s="81" t="str">
        <f aca="false">'W Sites'!C11</f>
        <v>S06</v>
      </c>
      <c r="F111" s="145" t="n">
        <f aca="false">'W Sites'!$G$11*MAX(0,EOMONTH(C111,0)-MAX(C111,'W Sites'!$F$11)+1)/DAY(EOMONTH(C111,0))</f>
        <v>1</v>
      </c>
      <c r="G111" s="145" t="n">
        <f aca="false">'W Sites'!$G$11*MAX(0,EOMONTH(C111,0)-MAX(C111,'W Sites'!$F$11,'W Assumptions'!$D$58)+1)/DAY(EOMONTH(C111,0))</f>
        <v>1</v>
      </c>
      <c r="H111" s="81" t="n">
        <f aca="false">'W Sites'!$H$11*F111*'W Sites'!$I$11*IF(((YEAR(C111)-YEAR('W Sites'!$F$11))*12+MONTH(C111)-MONTH('W Sites'!$F$11))=0,'W Assumptions'!$D$62,IF(((YEAR(C111)-YEAR('W Sites'!$F$11))*12+MONTH(C111)-MONTH('W Sites'!$F$11))=1,'W Assumptions'!$D$63,1))*INDEX('W Assumptions'!$D$7:$F$7,1,D111)*INDEX('W Assumptions'!$D$32:$F$32,1,D111)*INDEX('W Assumptions'!$D$80:$D$91,MONTH(C111),1)/AVERAGE('W Assumptions'!$D$80:$D$91)</f>
        <v>624</v>
      </c>
      <c r="I111" s="81" t="n">
        <f aca="false">H111*'W Sites'!$J$11/(1+'W Assumptions'!$D$39)*INDEX('W Assumptions'!$D$12:$F$12,1,D111)*INDEX('W Assumptions'!$D$33:$F$33,1,D111)</f>
        <v>32556.5217391304</v>
      </c>
      <c r="J111" s="81" t="n">
        <f aca="false">H111*'W Sites'!$K$11/(1+'W Assumptions'!$D$39)*INDEX('W Assumptions'!$D$12:$F$12,1,D111)*INDEX('W Assumptions'!$D$33:$F$33,1,D111)</f>
        <v>1627.82608695652</v>
      </c>
      <c r="K111" s="81" t="n">
        <f aca="false">'W Sites'!$L$11*F111*IF(((YEAR(C111)-YEAR('W Sites'!$F$11))*12+MONTH(C111)-MONTH('W Sites'!$F$11))=0,'W Assumptions'!$D$62,IF(((YEAR(C111)-YEAR('W Sites'!$F$11))*12+MONTH(C111)-MONTH('W Sites'!$F$11))=1,'W Assumptions'!$D$63,1))*INDEX('W Assumptions'!$D$7:$F$7,1,D111)*INDEX('W Assumptions'!$D$32:$F$32,1,D111)</f>
        <v>20000</v>
      </c>
      <c r="L111" s="81" t="n">
        <f aca="false">SUM(I111:K111)</f>
        <v>54184.347826087</v>
      </c>
      <c r="M111" s="81" t="n">
        <f aca="false">'W Site Costs'!$I$11*F111*INDEX('W Assumptions'!$D$34:$F$34,1,D111)*INDEX('W Assumptions'!$D$22:$F$22,1,D111)</f>
        <v>23836</v>
      </c>
      <c r="N111" s="81" t="n">
        <f aca="false">'W Site Costs'!$J$11*F111*INDEX('W Assumptions'!$D$35:$F$35,1,D111)*INDEX('W Assumptions'!$D$22:$F$22,1,D111)</f>
        <v>5000</v>
      </c>
      <c r="O111" s="81" t="n">
        <f aca="false">L111*'W Site Costs'!$K$11</f>
        <v>0</v>
      </c>
      <c r="P111" s="81" t="n">
        <f aca="false">SUM('W Site Costs'!$L$11:$Q$11)*F111*INDEX('W Assumptions'!$D$35:$F$35,1,D111)*INDEX('W Assumptions'!$D$22:$F$22,1,D111)</f>
        <v>8000</v>
      </c>
      <c r="Q111" s="81" t="n">
        <f aca="false">L111*'W Site Costs'!$R$11*INDEX('W Assumptions'!$D$17:$F$17,1,D111)</f>
        <v>5418.4347826087</v>
      </c>
      <c r="R111" s="112" t="n">
        <f aca="false">L111*'W Sites'!$M$11</f>
        <v>0</v>
      </c>
      <c r="S111" s="81" t="n">
        <f aca="false">SUM(M111:R111)</f>
        <v>42254.4347826087</v>
      </c>
      <c r="T111" s="81" t="n">
        <f aca="false">L111-S111</f>
        <v>11929.9130434783</v>
      </c>
      <c r="U111" s="81" t="n">
        <f aca="false">IF(C111='W Budget &amp; Owners'!$I$11,'W Budget &amp; Owners'!$F$11*'W Sites'!$G$11,0)</f>
        <v>0</v>
      </c>
      <c r="V111" s="81" t="n">
        <f aca="false">'W Sites'!$G$11*'W Budget &amp; Owners'!$E$11*INDEX('W Assumptions'!$D$27:$F$27,1,D111)*(IF(C111='W Budget &amp; Owners'!$I$11,'W Assumptions'!$D$65,0)+IF(C111=DATE(YEAR('W Sites'!$F$11),MONTH('W Sites'!$F$11),1),1-'W Assumptions'!$D$65,0))+'W Sites'!$G$11*'W Budget &amp; Owners'!$E$11*IF(C111=DATE(2027,9,1),'W Assumptions'!$D$67,IF(C111=DATE(2028,9,1),'W Assumptions'!$D$69,0))</f>
        <v>0</v>
      </c>
      <c r="W111" s="81" t="n">
        <f aca="false">IF(((YEAR(C111)-YEAR('W Sites'!$F$11))*12+MONTH(C111)-MONTH('W Sites'!$F$11))&lt;'W Budget &amp; Owners'!$H$11,'W Budget &amp; Owners'!$E$11/'W Budget &amp; Owners'!$H$11*F111,0)+IF(C111&gt;=DATE(2027,9,1),'W Budget &amp; Owners'!$E$11*'W Assumptions'!$D$67/'W Budget &amp; Owners'!$H$11*F111,0)+IF(C111&gt;=DATE(2028,9,1),'W Budget &amp; Owners'!$E$11*'W Assumptions'!$D$69/'W Budget &amp; Owners'!$H$11*F111,0)</f>
        <v>2500</v>
      </c>
      <c r="X111" s="81" t="n">
        <f aca="false">IF(C111='W Budget &amp; Owners'!$I$11,'W Budget &amp; Owners'!$G$11*'W Sites'!$G$11,0)</f>
        <v>0</v>
      </c>
      <c r="Y111" s="112" t="n">
        <f aca="false">IF(SUM($G$106:$G$115)=0,0,'W Fees &amp; KPI'!$Q$16*G111/SUM($G$106:$G$115))</f>
        <v>2918.3838768116</v>
      </c>
      <c r="Z111" s="119" t="n">
        <f aca="false">IF(SUM($G$106:$G$115)=0,0,SUM('W Fees &amp; KPI'!$J$16,'W Fees &amp; KPI'!$M$16)*G111/SUM($G$106:$G$115))</f>
        <v>4086.25</v>
      </c>
      <c r="AA111" s="117" t="n">
        <f aca="false">T111-U111-Z111-Y111</f>
        <v>4925.27916666667</v>
      </c>
      <c r="AB111" s="119" t="n">
        <f aca="false">IF('W Fees &amp; KPI'!$D$16=0,0,T111-U111-Z111)</f>
        <v>7843.66304347826</v>
      </c>
    </row>
    <row r="112" customFormat="false" ht="21" hidden="false" customHeight="true" outlineLevel="0" collapsed="false">
      <c r="C112" s="144" t="n">
        <f aca="false">46569</f>
        <v>46569</v>
      </c>
      <c r="D112" s="81" t="n">
        <f aca="false">1</f>
        <v>1</v>
      </c>
      <c r="E112" s="81" t="str">
        <f aca="false">'W Sites'!C12</f>
        <v>S07</v>
      </c>
      <c r="F112" s="145" t="n">
        <f aca="false">'W Sites'!$G$12*MAX(0,EOMONTH(C112,0)-MAX(C112,'W Sites'!$F$12)+1)/DAY(EOMONTH(C112,0))</f>
        <v>1</v>
      </c>
      <c r="G112" s="145" t="n">
        <f aca="false">'W Sites'!$G$12*MAX(0,EOMONTH(C112,0)-MAX(C112,'W Sites'!$F$12,'W Assumptions'!$D$58)+1)/DAY(EOMONTH(C112,0))</f>
        <v>1</v>
      </c>
      <c r="H112" s="81" t="n">
        <f aca="false">'W Sites'!$H$12*F112*'W Sites'!$I$12*IF(((YEAR(C112)-YEAR('W Sites'!$F$12))*12+MONTH(C112)-MONTH('W Sites'!$F$12))=0,'W Assumptions'!$D$62,IF(((YEAR(C112)-YEAR('W Sites'!$F$12))*12+MONTH(C112)-MONTH('W Sites'!$F$12))=1,'W Assumptions'!$D$63,1))*INDEX('W Assumptions'!$D$7:$F$7,1,D112)*INDEX('W Assumptions'!$D$32:$F$32,1,D112)*INDEX('W Assumptions'!$D$80:$D$91,MONTH(C112),1)/AVERAGE('W Assumptions'!$D$80:$D$91)</f>
        <v>728</v>
      </c>
      <c r="I112" s="81" t="n">
        <f aca="false">H112*'W Sites'!$J$12/(1+'W Assumptions'!$D$39)*INDEX('W Assumptions'!$D$12:$F$12,1,D112)*INDEX('W Assumptions'!$D$33:$F$33,1,D112)</f>
        <v>37982.6086956522</v>
      </c>
      <c r="J112" s="81" t="n">
        <f aca="false">H112*'W Sites'!$K$12/(1+'W Assumptions'!$D$39)*INDEX('W Assumptions'!$D$12:$F$12,1,D112)*INDEX('W Assumptions'!$D$33:$F$33,1,D112)</f>
        <v>1899.13043478261</v>
      </c>
      <c r="K112" s="81" t="n">
        <f aca="false">'W Sites'!$L$12*F112*IF(((YEAR(C112)-YEAR('W Sites'!$F$12))*12+MONTH(C112)-MONTH('W Sites'!$F$12))=0,'W Assumptions'!$D$62,IF(((YEAR(C112)-YEAR('W Sites'!$F$12))*12+MONTH(C112)-MONTH('W Sites'!$F$12))=1,'W Assumptions'!$D$63,1))*INDEX('W Assumptions'!$D$7:$F$7,1,D112)*INDEX('W Assumptions'!$D$32:$F$32,1,D112)</f>
        <v>18000</v>
      </c>
      <c r="L112" s="81" t="n">
        <f aca="false">SUM(I112:K112)</f>
        <v>57881.7391304348</v>
      </c>
      <c r="M112" s="81" t="n">
        <f aca="false">'W Site Costs'!$I$12*F112*INDEX('W Assumptions'!$D$34:$F$34,1,D112)*INDEX('W Assumptions'!$D$22:$F$22,1,D112)</f>
        <v>23836</v>
      </c>
      <c r="N112" s="81" t="n">
        <f aca="false">'W Site Costs'!$J$12*F112*INDEX('W Assumptions'!$D$35:$F$35,1,D112)*INDEX('W Assumptions'!$D$22:$F$22,1,D112)</f>
        <v>8000</v>
      </c>
      <c r="O112" s="81" t="n">
        <f aca="false">L112*'W Site Costs'!$K$12</f>
        <v>0</v>
      </c>
      <c r="P112" s="81" t="n">
        <f aca="false">SUM('W Site Costs'!$L$12:$Q$12)*F112*INDEX('W Assumptions'!$D$35:$F$35,1,D112)*INDEX('W Assumptions'!$D$22:$F$22,1,D112)</f>
        <v>8500</v>
      </c>
      <c r="Q112" s="81" t="n">
        <f aca="false">L112*'W Site Costs'!$R$12*INDEX('W Assumptions'!$D$17:$F$17,1,D112)</f>
        <v>5788.17391304348</v>
      </c>
      <c r="R112" s="112" t="n">
        <f aca="false">L112*'W Sites'!$M$12</f>
        <v>0</v>
      </c>
      <c r="S112" s="81" t="n">
        <f aca="false">SUM(M112:R112)</f>
        <v>46124.1739130435</v>
      </c>
      <c r="T112" s="81" t="n">
        <f aca="false">L112-S112</f>
        <v>11757.5652173913</v>
      </c>
      <c r="U112" s="81" t="n">
        <f aca="false">IF(C112='W Budget &amp; Owners'!$I$12,'W Budget &amp; Owners'!$F$12*'W Sites'!$G$12,0)</f>
        <v>0</v>
      </c>
      <c r="V112" s="81" t="n">
        <f aca="false">'W Sites'!$G$12*'W Budget &amp; Owners'!$E$12*INDEX('W Assumptions'!$D$27:$F$27,1,D112)*(IF(C112='W Budget &amp; Owners'!$I$12,'W Assumptions'!$D$65,0)+IF(C112=DATE(YEAR('W Sites'!$F$12),MONTH('W Sites'!$F$12),1),1-'W Assumptions'!$D$65,0))+'W Sites'!$G$12*'W Budget &amp; Owners'!$E$12*IF(C112=DATE(2027,9,1),'W Assumptions'!$D$67,IF(C112=DATE(2028,9,1),'W Assumptions'!$D$69,0))</f>
        <v>0</v>
      </c>
      <c r="W112" s="81" t="n">
        <f aca="false">IF(((YEAR(C112)-YEAR('W Sites'!$F$12))*12+MONTH(C112)-MONTH('W Sites'!$F$12))&lt;'W Budget &amp; Owners'!$H$12,'W Budget &amp; Owners'!$E$12/'W Budget &amp; Owners'!$H$12*F112,0)+IF(C112&gt;=DATE(2027,9,1),'W Budget &amp; Owners'!$E$12*'W Assumptions'!$D$67/'W Budget &amp; Owners'!$H$12*F112,0)+IF(C112&gt;=DATE(2028,9,1),'W Budget &amp; Owners'!$E$12*'W Assumptions'!$D$69/'W Budget &amp; Owners'!$H$12*F112,0)</f>
        <v>7500</v>
      </c>
      <c r="X112" s="81" t="n">
        <f aca="false">IF(C112='W Budget &amp; Owners'!$I$12,'W Budget &amp; Owners'!$G$12*'W Sites'!$G$12,0)</f>
        <v>0</v>
      </c>
      <c r="Y112" s="112" t="n">
        <f aca="false">IF(SUM($G$106:$G$115)=0,0,'W Fees &amp; KPI'!$Q$16*G112/SUM($G$106:$G$115))</f>
        <v>2918.3838768116</v>
      </c>
      <c r="Z112" s="119" t="n">
        <f aca="false">IF(SUM($G$106:$G$115)=0,0,SUM('W Fees &amp; KPI'!$J$16,'W Fees &amp; KPI'!$M$16)*G112/SUM($G$106:$G$115))</f>
        <v>4086.25</v>
      </c>
      <c r="AA112" s="117" t="n">
        <f aca="false">T112-U112-Z112-Y112</f>
        <v>4752.93134057971</v>
      </c>
      <c r="AB112" s="119" t="n">
        <f aca="false">IF('W Fees &amp; KPI'!$D$16=0,0,T112-U112-Z112)</f>
        <v>7671.3152173913</v>
      </c>
    </row>
    <row r="113" customFormat="false" ht="21" hidden="false" customHeight="true" outlineLevel="0" collapsed="false">
      <c r="C113" s="144" t="n">
        <f aca="false">46569</f>
        <v>46569</v>
      </c>
      <c r="D113" s="81" t="n">
        <f aca="false">1</f>
        <v>1</v>
      </c>
      <c r="E113" s="81" t="str">
        <f aca="false">'W Sites'!C13</f>
        <v>S08</v>
      </c>
      <c r="F113" s="145" t="n">
        <f aca="false">'W Sites'!$G$13*MAX(0,EOMONTH(C113,0)-MAX(C113,'W Sites'!$F$13)+1)/DAY(EOMONTH(C113,0))</f>
        <v>1</v>
      </c>
      <c r="G113" s="145" t="n">
        <f aca="false">'W Sites'!$G$13*MAX(0,EOMONTH(C113,0)-MAX(C113,'W Sites'!$F$13,'W Assumptions'!$D$58)+1)/DAY(EOMONTH(C113,0))</f>
        <v>1</v>
      </c>
      <c r="H113" s="81" t="n">
        <f aca="false">'W Sites'!$H$13*F113*'W Sites'!$I$13*IF(((YEAR(C113)-YEAR('W Sites'!$F$13))*12+MONTH(C113)-MONTH('W Sites'!$F$13))=0,'W Assumptions'!$D$62,IF(((YEAR(C113)-YEAR('W Sites'!$F$13))*12+MONTH(C113)-MONTH('W Sites'!$F$13))=1,'W Assumptions'!$D$63,1))*INDEX('W Assumptions'!$D$7:$F$7,1,D113)*INDEX('W Assumptions'!$D$32:$F$32,1,D113)*INDEX('W Assumptions'!$D$80:$D$91,MONTH(C113),1)/AVERAGE('W Assumptions'!$D$80:$D$91)</f>
        <v>3120</v>
      </c>
      <c r="I113" s="81" t="n">
        <f aca="false">H113*'W Sites'!$J$13/(1+'W Assumptions'!$D$39)*INDEX('W Assumptions'!$D$12:$F$12,1,D113)*INDEX('W Assumptions'!$D$33:$F$33,1,D113)</f>
        <v>108521.739130435</v>
      </c>
      <c r="J113" s="81" t="n">
        <f aca="false">H113*'W Sites'!$K$13/(1+'W Assumptions'!$D$39)*INDEX('W Assumptions'!$D$12:$F$12,1,D113)*INDEX('W Assumptions'!$D$33:$F$33,1,D113)</f>
        <v>13565.2173913043</v>
      </c>
      <c r="K113" s="81" t="n">
        <f aca="false">'W Sites'!$L$13*F113*IF(((YEAR(C113)-YEAR('W Sites'!$F$13))*12+MONTH(C113)-MONTH('W Sites'!$F$13))=0,'W Assumptions'!$D$62,IF(((YEAR(C113)-YEAR('W Sites'!$F$13))*12+MONTH(C113)-MONTH('W Sites'!$F$13))=1,'W Assumptions'!$D$63,1))*INDEX('W Assumptions'!$D$7:$F$7,1,D113)*INDEX('W Assumptions'!$D$32:$F$32,1,D113)</f>
        <v>15000</v>
      </c>
      <c r="L113" s="81" t="n">
        <f aca="false">SUM(I113:K113)</f>
        <v>137086.956521739</v>
      </c>
      <c r="M113" s="81" t="n">
        <f aca="false">'W Site Costs'!$I$13*F113*INDEX('W Assumptions'!$D$34:$F$34,1,D113)*INDEX('W Assumptions'!$D$22:$F$22,1,D113)</f>
        <v>53336</v>
      </c>
      <c r="N113" s="81" t="n">
        <f aca="false">'W Site Costs'!$J$13*F113*INDEX('W Assumptions'!$D$35:$F$35,1,D113)*INDEX('W Assumptions'!$D$22:$F$22,1,D113)</f>
        <v>0</v>
      </c>
      <c r="O113" s="81" t="n">
        <f aca="false">L113*'W Site Costs'!$K$13</f>
        <v>13708.6956521739</v>
      </c>
      <c r="P113" s="81" t="n">
        <f aca="false">SUM('W Site Costs'!$L$13:$Q$13)*F113*INDEX('W Assumptions'!$D$35:$F$35,1,D113)*INDEX('W Assumptions'!$D$22:$F$22,1,D113)</f>
        <v>25500</v>
      </c>
      <c r="Q113" s="81" t="n">
        <f aca="false">L113*'W Site Costs'!$R$13*INDEX('W Assumptions'!$D$17:$F$17,1,D113)</f>
        <v>10966.9565217391</v>
      </c>
      <c r="R113" s="112" t="n">
        <f aca="false">L113*'W Sites'!$M$13</f>
        <v>0</v>
      </c>
      <c r="S113" s="81" t="n">
        <f aca="false">SUM(M113:R113)</f>
        <v>103511.652173913</v>
      </c>
      <c r="T113" s="81" t="n">
        <f aca="false">L113-S113</f>
        <v>33575.3043478261</v>
      </c>
      <c r="U113" s="81" t="n">
        <f aca="false">IF(C113='W Budget &amp; Owners'!$I$13,'W Budget &amp; Owners'!$F$13*'W Sites'!$G$13,0)</f>
        <v>0</v>
      </c>
      <c r="V113" s="81" t="n">
        <f aca="false">'W Sites'!$G$13*'W Budget &amp; Owners'!$E$13*INDEX('W Assumptions'!$D$27:$F$27,1,D113)*(IF(C113='W Budget &amp; Owners'!$I$13,'W Assumptions'!$D$65,0)+IF(C113=DATE(YEAR('W Sites'!$F$13),MONTH('W Sites'!$F$13),1),1-'W Assumptions'!$D$65,0))+'W Sites'!$G$13*'W Budget &amp; Owners'!$E$13*IF(C113=DATE(2027,9,1),'W Assumptions'!$D$67,IF(C113=DATE(2028,9,1),'W Assumptions'!$D$69,0))</f>
        <v>0</v>
      </c>
      <c r="W113" s="81" t="n">
        <f aca="false">IF(((YEAR(C113)-YEAR('W Sites'!$F$13))*12+MONTH(C113)-MONTH('W Sites'!$F$13))&lt;'W Budget &amp; Owners'!$H$13,'W Budget &amp; Owners'!$E$13/'W Budget &amp; Owners'!$H$13*F113,0)+IF(C113&gt;=DATE(2027,9,1),'W Budget &amp; Owners'!$E$13*'W Assumptions'!$D$67/'W Budget &amp; Owners'!$H$13*F113,0)+IF(C113&gt;=DATE(2028,9,1),'W Budget &amp; Owners'!$E$13*'W Assumptions'!$D$69/'W Budget &amp; Owners'!$H$13*F113,0)</f>
        <v>20000</v>
      </c>
      <c r="X113" s="81" t="n">
        <f aca="false">IF(C113='W Budget &amp; Owners'!$I$13,'W Budget &amp; Owners'!$G$13*'W Sites'!$G$13,0)</f>
        <v>0</v>
      </c>
      <c r="Y113" s="112" t="n">
        <f aca="false">IF(SUM($G$106:$G$115)=0,0,'W Fees &amp; KPI'!$Q$16*G113/SUM($G$106:$G$115))</f>
        <v>2918.3838768116</v>
      </c>
      <c r="Z113" s="119" t="n">
        <f aca="false">IF(SUM($G$106:$G$115)=0,0,SUM('W Fees &amp; KPI'!$J$16,'W Fees &amp; KPI'!$M$16)*G113/SUM($G$106:$G$115))</f>
        <v>4086.25</v>
      </c>
      <c r="AA113" s="117" t="n">
        <f aca="false">T113-U113-Z113-Y113</f>
        <v>26570.6704710145</v>
      </c>
      <c r="AB113" s="119" t="n">
        <f aca="false">IF('W Fees &amp; KPI'!$D$16=0,0,T113-U113-Z113)</f>
        <v>29489.0543478261</v>
      </c>
    </row>
    <row r="114" customFormat="false" ht="21" hidden="false" customHeight="true" outlineLevel="0" collapsed="false">
      <c r="C114" s="144" t="n">
        <f aca="false">46569</f>
        <v>46569</v>
      </c>
      <c r="D114" s="81" t="n">
        <f aca="false">1</f>
        <v>1</v>
      </c>
      <c r="E114" s="81" t="str">
        <f aca="false">'W Sites'!C14</f>
        <v>S09</v>
      </c>
      <c r="F114" s="145" t="n">
        <f aca="false">'W Sites'!$G$14*MAX(0,EOMONTH(C114,0)-MAX(C114,'W Sites'!$F$14)+1)/DAY(EOMONTH(C114,0))</f>
        <v>0</v>
      </c>
      <c r="G114" s="145" t="n">
        <f aca="false">'W Sites'!$G$14*MAX(0,EOMONTH(C114,0)-MAX(C114,'W Sites'!$F$14,'W Assumptions'!$D$58)+1)/DAY(EOMONTH(C114,0))</f>
        <v>0</v>
      </c>
      <c r="H114" s="81" t="n">
        <f aca="false">'W Sites'!$H$14*F114*'W Sites'!$I$14*IF(((YEAR(C114)-YEAR('W Sites'!$F$14))*12+MONTH(C114)-MONTH('W Sites'!$F$14))=0,'W Assumptions'!$D$62,IF(((YEAR(C114)-YEAR('W Sites'!$F$14))*12+MONTH(C114)-MONTH('W Sites'!$F$14))=1,'W Assumptions'!$D$63,1))*INDEX('W Assumptions'!$D$7:$F$7,1,D114)*INDEX('W Assumptions'!$D$32:$F$32,1,D114)*INDEX('W Assumptions'!$D$80:$D$91,MONTH(C114),1)/AVERAGE('W Assumptions'!$D$80:$D$91)</f>
        <v>0</v>
      </c>
      <c r="I114" s="81" t="n">
        <f aca="false">H114*'W Sites'!$J$14/(1+'W Assumptions'!$D$39)*INDEX('W Assumptions'!$D$12:$F$12,1,D114)*INDEX('W Assumptions'!$D$33:$F$33,1,D114)</f>
        <v>0</v>
      </c>
      <c r="J114" s="81" t="n">
        <f aca="false">H114*'W Sites'!$K$14/(1+'W Assumptions'!$D$39)*INDEX('W Assumptions'!$D$12:$F$12,1,D114)*INDEX('W Assumptions'!$D$33:$F$33,1,D114)</f>
        <v>0</v>
      </c>
      <c r="K114" s="81" t="n">
        <f aca="false">'W Sites'!$L$14*F114*IF(((YEAR(C114)-YEAR('W Sites'!$F$14))*12+MONTH(C114)-MONTH('W Sites'!$F$14))=0,'W Assumptions'!$D$62,IF(((YEAR(C114)-YEAR('W Sites'!$F$14))*12+MONTH(C114)-MONTH('W Sites'!$F$14))=1,'W Assumptions'!$D$63,1))*INDEX('W Assumptions'!$D$7:$F$7,1,D114)*INDEX('W Assumptions'!$D$32:$F$32,1,D114)</f>
        <v>0</v>
      </c>
      <c r="L114" s="81" t="n">
        <f aca="false">SUM(I114:K114)</f>
        <v>0</v>
      </c>
      <c r="M114" s="81" t="n">
        <f aca="false">'W Site Costs'!$I$14*F114*INDEX('W Assumptions'!$D$34:$F$34,1,D114)*INDEX('W Assumptions'!$D$22:$F$22,1,D114)</f>
        <v>0</v>
      </c>
      <c r="N114" s="81" t="n">
        <f aca="false">'W Site Costs'!$J$14*F114*INDEX('W Assumptions'!$D$35:$F$35,1,D114)*INDEX('W Assumptions'!$D$22:$F$22,1,D114)</f>
        <v>0</v>
      </c>
      <c r="O114" s="81" t="n">
        <f aca="false">L114*'W Site Costs'!$K$14</f>
        <v>0</v>
      </c>
      <c r="P114" s="81" t="n">
        <f aca="false">SUM('W Site Costs'!$L$14:$Q$14)*F114*INDEX('W Assumptions'!$D$35:$F$35,1,D114)*INDEX('W Assumptions'!$D$22:$F$22,1,D114)</f>
        <v>0</v>
      </c>
      <c r="Q114" s="81" t="n">
        <f aca="false">L114*'W Site Costs'!$R$14*INDEX('W Assumptions'!$D$17:$F$17,1,D114)</f>
        <v>0</v>
      </c>
      <c r="R114" s="112" t="n">
        <f aca="false">L114*'W Sites'!$M$14</f>
        <v>0</v>
      </c>
      <c r="S114" s="81" t="n">
        <f aca="false">SUM(M114:R114)</f>
        <v>0</v>
      </c>
      <c r="T114" s="81" t="n">
        <f aca="false">L114-S114</f>
        <v>0</v>
      </c>
      <c r="U114" s="81" t="n">
        <f aca="false">IF(C114='W Budget &amp; Owners'!$I$14,'W Budget &amp; Owners'!$F$14*'W Sites'!$G$14,0)</f>
        <v>0</v>
      </c>
      <c r="V114" s="81" t="n">
        <f aca="false">'W Sites'!$G$14*'W Budget &amp; Owners'!$E$14*INDEX('W Assumptions'!$D$27:$F$27,1,D114)*(IF(C114='W Budget &amp; Owners'!$I$14,'W Assumptions'!$D$65,0)+IF(C114=DATE(YEAR('W Sites'!$F$14),MONTH('W Sites'!$F$14),1),1-'W Assumptions'!$D$65,0))+'W Sites'!$G$14*'W Budget &amp; Owners'!$E$14*IF(C114=DATE(2027,9,1),'W Assumptions'!$D$67,IF(C114=DATE(2028,9,1),'W Assumptions'!$D$69,0))</f>
        <v>0</v>
      </c>
      <c r="W114" s="81" t="n">
        <f aca="false">IF(((YEAR(C114)-YEAR('W Sites'!$F$14))*12+MONTH(C114)-MONTH('W Sites'!$F$14))&lt;'W Budget &amp; Owners'!$H$14,'W Budget &amp; Owners'!$E$14/'W Budget &amp; Owners'!$H$14*F114,0)+IF(C114&gt;=DATE(2027,9,1),'W Budget &amp; Owners'!$E$14*'W Assumptions'!$D$67/'W Budget &amp; Owners'!$H$14*F114,0)+IF(C114&gt;=DATE(2028,9,1),'W Budget &amp; Owners'!$E$14*'W Assumptions'!$D$69/'W Budget &amp; Owners'!$H$14*F114,0)</f>
        <v>0</v>
      </c>
      <c r="X114" s="81" t="n">
        <f aca="false">IF(C114='W Budget &amp; Owners'!$I$14,'W Budget &amp; Owners'!$G$14*'W Sites'!$G$14,0)</f>
        <v>0</v>
      </c>
      <c r="Y114" s="112" t="n">
        <f aca="false">IF(SUM($G$106:$G$115)=0,0,'W Fees &amp; KPI'!$Q$16*G114/SUM($G$106:$G$115))</f>
        <v>0</v>
      </c>
      <c r="Z114" s="119" t="n">
        <f aca="false">IF(SUM($G$106:$G$115)=0,0,SUM('W Fees &amp; KPI'!$J$16,'W Fees &amp; KPI'!$M$16)*G114/SUM($G$106:$G$115))</f>
        <v>0</v>
      </c>
      <c r="AA114" s="117" t="n">
        <f aca="false">T114-U114-Z114-Y114</f>
        <v>0</v>
      </c>
      <c r="AB114" s="119" t="n">
        <f aca="false">IF('W Fees &amp; KPI'!$D$16=0,0,T114-U114-Z114)</f>
        <v>0</v>
      </c>
    </row>
    <row r="115" customFormat="false" ht="21" hidden="false" customHeight="true" outlineLevel="0" collapsed="false">
      <c r="C115" s="144" t="n">
        <f aca="false">46569</f>
        <v>46569</v>
      </c>
      <c r="D115" s="81" t="n">
        <f aca="false">1</f>
        <v>1</v>
      </c>
      <c r="E115" s="81" t="str">
        <f aca="false">'W Sites'!C15</f>
        <v>S10</v>
      </c>
      <c r="F115" s="145" t="n">
        <f aca="false">'W Sites'!$G$15*MAX(0,EOMONTH(C115,0)-MAX(C115,'W Sites'!$F$15)+1)/DAY(EOMONTH(C115,0))</f>
        <v>0</v>
      </c>
      <c r="G115" s="145" t="n">
        <f aca="false">'W Sites'!$G$15*MAX(0,EOMONTH(C115,0)-MAX(C115,'W Sites'!$F$15,'W Assumptions'!$D$58)+1)/DAY(EOMONTH(C115,0))</f>
        <v>0</v>
      </c>
      <c r="H115" s="81" t="n">
        <f aca="false">'W Sites'!$H$15*F115*'W Sites'!$I$15*IF(((YEAR(C115)-YEAR('W Sites'!$F$15))*12+MONTH(C115)-MONTH('W Sites'!$F$15))=0,'W Assumptions'!$D$62,IF(((YEAR(C115)-YEAR('W Sites'!$F$15))*12+MONTH(C115)-MONTH('W Sites'!$F$15))=1,'W Assumptions'!$D$63,1))*INDEX('W Assumptions'!$D$7:$F$7,1,D115)*INDEX('W Assumptions'!$D$32:$F$32,1,D115)*INDEX('W Assumptions'!$D$80:$D$91,MONTH(C115),1)/AVERAGE('W Assumptions'!$D$80:$D$91)</f>
        <v>0</v>
      </c>
      <c r="I115" s="81" t="n">
        <f aca="false">H115*'W Sites'!$J$15/(1+'W Assumptions'!$D$39)*INDEX('W Assumptions'!$D$12:$F$12,1,D115)*INDEX('W Assumptions'!$D$33:$F$33,1,D115)</f>
        <v>0</v>
      </c>
      <c r="J115" s="81" t="n">
        <f aca="false">H115*'W Sites'!$K$15/(1+'W Assumptions'!$D$39)*INDEX('W Assumptions'!$D$12:$F$12,1,D115)*INDEX('W Assumptions'!$D$33:$F$33,1,D115)</f>
        <v>0</v>
      </c>
      <c r="K115" s="81" t="n">
        <f aca="false">'W Sites'!$L$15*F115*IF(((YEAR(C115)-YEAR('W Sites'!$F$15))*12+MONTH(C115)-MONTH('W Sites'!$F$15))=0,'W Assumptions'!$D$62,IF(((YEAR(C115)-YEAR('W Sites'!$F$15))*12+MONTH(C115)-MONTH('W Sites'!$F$15))=1,'W Assumptions'!$D$63,1))*INDEX('W Assumptions'!$D$7:$F$7,1,D115)*INDEX('W Assumptions'!$D$32:$F$32,1,D115)</f>
        <v>0</v>
      </c>
      <c r="L115" s="81" t="n">
        <f aca="false">SUM(I115:K115)</f>
        <v>0</v>
      </c>
      <c r="M115" s="81" t="n">
        <f aca="false">'W Site Costs'!$I$15*F115*INDEX('W Assumptions'!$D$34:$F$34,1,D115)*INDEX('W Assumptions'!$D$22:$F$22,1,D115)</f>
        <v>0</v>
      </c>
      <c r="N115" s="81" t="n">
        <f aca="false">'W Site Costs'!$J$15*F115*INDEX('W Assumptions'!$D$35:$F$35,1,D115)*INDEX('W Assumptions'!$D$22:$F$22,1,D115)</f>
        <v>0</v>
      </c>
      <c r="O115" s="81" t="n">
        <f aca="false">L115*'W Site Costs'!$K$15</f>
        <v>0</v>
      </c>
      <c r="P115" s="81" t="n">
        <f aca="false">SUM('W Site Costs'!$L$15:$Q$15)*F115*INDEX('W Assumptions'!$D$35:$F$35,1,D115)*INDEX('W Assumptions'!$D$22:$F$22,1,D115)</f>
        <v>0</v>
      </c>
      <c r="Q115" s="81" t="n">
        <f aca="false">L115*'W Site Costs'!$R$15*INDEX('W Assumptions'!$D$17:$F$17,1,D115)</f>
        <v>0</v>
      </c>
      <c r="R115" s="112" t="n">
        <f aca="false">L115*'W Sites'!$M$15</f>
        <v>0</v>
      </c>
      <c r="S115" s="81" t="n">
        <f aca="false">SUM(M115:R115)</f>
        <v>0</v>
      </c>
      <c r="T115" s="81" t="n">
        <f aca="false">L115-S115</f>
        <v>0</v>
      </c>
      <c r="U115" s="81" t="n">
        <f aca="false">IF(C115='W Budget &amp; Owners'!$I$15,'W Budget &amp; Owners'!$F$15*'W Sites'!$G$15,0)</f>
        <v>0</v>
      </c>
      <c r="V115" s="81" t="n">
        <f aca="false">'W Sites'!$G$15*'W Budget &amp; Owners'!$E$15*INDEX('W Assumptions'!$D$27:$F$27,1,D115)*(IF(C115='W Budget &amp; Owners'!$I$15,'W Assumptions'!$D$65,0)+IF(C115=DATE(YEAR('W Sites'!$F$15),MONTH('W Sites'!$F$15),1),1-'W Assumptions'!$D$65,0))+'W Sites'!$G$15*'W Budget &amp; Owners'!$E$15*IF(C115=DATE(2027,9,1),'W Assumptions'!$D$67,IF(C115=DATE(2028,9,1),'W Assumptions'!$D$69,0))</f>
        <v>0</v>
      </c>
      <c r="W115" s="81" t="n">
        <f aca="false">IF(((YEAR(C115)-YEAR('W Sites'!$F$15))*12+MONTH(C115)-MONTH('W Sites'!$F$15))&lt;'W Budget &amp; Owners'!$H$15,'W Budget &amp; Owners'!$E$15/'W Budget &amp; Owners'!$H$15*F115,0)+IF(C115&gt;=DATE(2027,9,1),'W Budget &amp; Owners'!$E$15*'W Assumptions'!$D$67/'W Budget &amp; Owners'!$H$15*F115,0)+IF(C115&gt;=DATE(2028,9,1),'W Budget &amp; Owners'!$E$15*'W Assumptions'!$D$69/'W Budget &amp; Owners'!$H$15*F115,0)</f>
        <v>0</v>
      </c>
      <c r="X115" s="81" t="n">
        <f aca="false">IF(C115='W Budget &amp; Owners'!$I$15,'W Budget &amp; Owners'!$G$15*'W Sites'!$G$15,0)</f>
        <v>0</v>
      </c>
      <c r="Y115" s="112" t="n">
        <f aca="false">IF(SUM($G$106:$G$115)=0,0,'W Fees &amp; KPI'!$Q$16*G115/SUM($G$106:$G$115))</f>
        <v>0</v>
      </c>
      <c r="Z115" s="119" t="n">
        <f aca="false">IF(SUM($G$106:$G$115)=0,0,SUM('W Fees &amp; KPI'!$J$16,'W Fees &amp; KPI'!$M$16)*G115/SUM($G$106:$G$115))</f>
        <v>0</v>
      </c>
      <c r="AA115" s="117" t="n">
        <f aca="false">T115-U115-Z115-Y115</f>
        <v>0</v>
      </c>
      <c r="AB115" s="119" t="n">
        <f aca="false">IF('W Fees &amp; KPI'!$D$16=0,0,T115-U115-Z115)</f>
        <v>0</v>
      </c>
    </row>
    <row r="116" customFormat="false" ht="21" hidden="false" customHeight="true" outlineLevel="0" collapsed="false">
      <c r="C116" s="144" t="n">
        <f aca="false">46600</f>
        <v>46600</v>
      </c>
      <c r="D116" s="81" t="n">
        <f aca="false">1</f>
        <v>1</v>
      </c>
      <c r="E116" s="81" t="str">
        <f aca="false">'W Sites'!C6</f>
        <v>S01</v>
      </c>
      <c r="F116" s="145" t="n">
        <f aca="false">'W Sites'!$G$6*MAX(0,EOMONTH(C116,0)-MAX(C116,'W Sites'!$F$6)+1)/DAY(EOMONTH(C116,0))</f>
        <v>1</v>
      </c>
      <c r="G116" s="145" t="n">
        <f aca="false">'W Sites'!$G$6*MAX(0,EOMONTH(C116,0)-MAX(C116,'W Sites'!$F$6,'W Assumptions'!$D$58)+1)/DAY(EOMONTH(C116,0))</f>
        <v>1</v>
      </c>
      <c r="H116" s="81" t="n">
        <f aca="false">'W Sites'!$D$45*INDEX('W Sites'!$E$65:$E$76,MONTH(C116),1)/SUM('W Sites'!$E$65:$E$76)*F116*(1+'W Sites'!$D$56)^(D116-1)*INDEX('W Assumptions'!$D$7:$F$7,1,D116)</f>
        <v>5274</v>
      </c>
      <c r="I116" s="81" t="n">
        <f aca="false">H116*'W Sites'!$D$46/(1+'W Sites'!$D$54*'W Assumptions'!$D$39)*INDEX('W Assumptions'!$D$12:$F$12,1,D116)</f>
        <v>290070</v>
      </c>
      <c r="J116" s="81" t="n">
        <f aca="false">H116*SUM('W Sites'!$D$47:$D$49)/(1+'W Sites'!$D$54*'W Assumptions'!$D$39)*INDEX('W Assumptions'!$D$12:$F$12,1,D116)</f>
        <v>158220</v>
      </c>
      <c r="K116" s="81" t="n">
        <f aca="false">SUM('W Sites'!$D$50:$D$52)/12*F116*(1+'W Sites'!$D$56)^(D116-1)*INDEX('W Assumptions'!$D$7:$F$7,1,D116)*INDEX('W Assumptions'!$D$12:$F$12,1,D116)/(1+'W Sites'!$D$54*'W Assumptions'!$D$39)</f>
        <v>33333.3333333333</v>
      </c>
      <c r="L116" s="81" t="n">
        <f aca="false">SUM(I116:K116)</f>
        <v>481623.333333333</v>
      </c>
      <c r="M116" s="81" t="n">
        <f aca="false">('W Site Costs'!$I$6+INDEX('W Sites'!$F$65:$F$76,MONTH(C116),1)*'W Site Costs'!$V$6)*F116*(1+'W Sites'!$D$58)^(D116-1)*INDEX('W Assumptions'!$D$22:$F$22,1,D116)</f>
        <v>108500</v>
      </c>
      <c r="N116" s="81" t="n">
        <f aca="false">'W Site Costs'!$J$6*F116*INDEX('W Assumptions'!$D$35:$F$35,1,D116)*INDEX('W Assumptions'!$D$22:$F$22,1,D116)</f>
        <v>15000</v>
      </c>
      <c r="O116" s="81" t="n">
        <f aca="false">L116*'W Site Costs'!$K$6</f>
        <v>0</v>
      </c>
      <c r="P116" s="81" t="n">
        <f aca="false">(SUM('W Site Costs'!$L$6:$Q$6)+INDEX('W Sites'!$F$65:$F$76,MONTH(C116),1)*'W Site Costs'!$W$6)*F116*(1+'W Sites'!$D$58)^(D116-1)*INDEX('W Assumptions'!$D$22:$F$22,1,D116)</f>
        <v>74000</v>
      </c>
      <c r="Q116" s="81" t="n">
        <f aca="false">('W Site Costs'!$X$6+INDEX('W Sites'!$F$65:$F$76,MONTH(C116),1)*'W Site Costs'!$Y$6)*F116*(1+'W Sites'!$D$58)^(D116-1)*INDEX('W Assumptions'!$D$17:$F$17,1,D116)</f>
        <v>18000</v>
      </c>
      <c r="R116" s="112" t="n">
        <f aca="false">L116*'W Sites'!$M$6</f>
        <v>0</v>
      </c>
      <c r="S116" s="81" t="n">
        <f aca="false">SUM(M116:R116)</f>
        <v>215500</v>
      </c>
      <c r="T116" s="81" t="n">
        <f aca="false">L116-S116</f>
        <v>266123.333333333</v>
      </c>
      <c r="U116" s="81" t="n">
        <f aca="false">IF(C116='W Budget &amp; Owners'!$I$6,'W Budget &amp; Owners'!$F$6*'W Sites'!$G$6,0)</f>
        <v>0</v>
      </c>
      <c r="V116" s="81" t="n">
        <f aca="false">'W Sites'!$G$6*'W Budget &amp; Owners'!$E$6*INDEX('W Assumptions'!$D$27:$F$27,1,D116)*(IF(C116='W Budget &amp; Owners'!$I$6,'W Assumptions'!$D$65,0)+IF(C116=DATE(YEAR('W Sites'!$F$6),MONTH('W Sites'!$F$6),1),1-'W Assumptions'!$D$65,0))+'W Sites'!$G$6*'W Budget &amp; Owners'!$E$6*IF(C116=DATE(2027,9,1),'W Assumptions'!$D$67,IF(C116=DATE(2028,9,1),'W Assumptions'!$D$69,0))</f>
        <v>0</v>
      </c>
      <c r="W116" s="81" t="n">
        <f aca="false">IF(((YEAR(C116)-YEAR('W Sites'!$F$6))*12+MONTH(C116)-MONTH('W Sites'!$F$6))&lt;'W Budget &amp; Owners'!$H$6,'W Budget &amp; Owners'!$E$6/'W Budget &amp; Owners'!$H$6*F116,0)+IF(C116&gt;=DATE(2027,9,1),'W Budget &amp; Owners'!$E$6*'W Assumptions'!$D$67/'W Budget &amp; Owners'!$H$6*F116,0)+IF(C116&gt;=DATE(2028,9,1),'W Budget &amp; Owners'!$E$6*'W Assumptions'!$D$69/'W Budget &amp; Owners'!$H$6*F116,0)</f>
        <v>5833.33333333333</v>
      </c>
      <c r="X116" s="81" t="n">
        <f aca="false">IF(C116='W Budget &amp; Owners'!$I$6,'W Budget &amp; Owners'!$G$6*'W Sites'!$G$6,0)</f>
        <v>0</v>
      </c>
      <c r="Y116" s="112" t="n">
        <f aca="false">IF(SUM($G$116:$G$125)=0,0,'W Fees &amp; KPI'!$Q$17*G116/SUM($G$116:$G$125))</f>
        <v>3008.14800724638</v>
      </c>
      <c r="Z116" s="119" t="n">
        <f aca="false">IF(SUM($G$116:$G$125)=0,0,SUM('W Fees &amp; KPI'!$J$17,'W Fees &amp; KPI'!$M$17)*G116/SUM($G$116:$G$125))</f>
        <v>4086.25</v>
      </c>
      <c r="AA116" s="117" t="n">
        <f aca="false">T116-U116-Z116-Y116</f>
        <v>259028.935326087</v>
      </c>
      <c r="AB116" s="119" t="n">
        <f aca="false">IF('W Fees &amp; KPI'!$D$17=0,0,T116-U116-Z116)</f>
        <v>262037.083333333</v>
      </c>
    </row>
    <row r="117" customFormat="false" ht="21" hidden="false" customHeight="true" outlineLevel="0" collapsed="false">
      <c r="C117" s="144" t="n">
        <f aca="false">46600</f>
        <v>46600</v>
      </c>
      <c r="D117" s="81" t="n">
        <f aca="false">1</f>
        <v>1</v>
      </c>
      <c r="E117" s="81" t="str">
        <f aca="false">'W Sites'!C7</f>
        <v>S02</v>
      </c>
      <c r="F117" s="145" t="n">
        <f aca="false">'W Sites'!$G$7*MAX(0,EOMONTH(C117,0)-MAX(C117,'W Sites'!$F$7)+1)/DAY(EOMONTH(C117,0))</f>
        <v>1</v>
      </c>
      <c r="G117" s="145" t="n">
        <f aca="false">'W Sites'!$G$7*MAX(0,EOMONTH(C117,0)-MAX(C117,'W Sites'!$F$7,'W Assumptions'!$D$58)+1)/DAY(EOMONTH(C117,0))</f>
        <v>1</v>
      </c>
      <c r="H117" s="81" t="n">
        <f aca="false">'W Sites'!$H$7*F117*'W Sites'!$I$7*IF(((YEAR(C117)-YEAR('W Sites'!$F$7))*12+MONTH(C117)-MONTH('W Sites'!$F$7))=0,'W Assumptions'!$D$62,IF(((YEAR(C117)-YEAR('W Sites'!$F$7))*12+MONTH(C117)-MONTH('W Sites'!$F$7))=1,'W Assumptions'!$D$63,1))*INDEX('W Assumptions'!$D$7:$F$7,1,D117)*INDEX('W Assumptions'!$D$32:$F$32,1,D117)*INDEX('W Assumptions'!$D$80:$D$91,MONTH(C117),1)/AVERAGE('W Assumptions'!$D$80:$D$91)</f>
        <v>1890</v>
      </c>
      <c r="I117" s="81" t="n">
        <f aca="false">H117*'W Sites'!$J$7/(1+'W Assumptions'!$D$39)*INDEX('W Assumptions'!$D$12:$F$12,1,D117)*INDEX('W Assumptions'!$D$33:$F$33,1,D117)</f>
        <v>57521.7391304348</v>
      </c>
      <c r="J117" s="81" t="n">
        <f aca="false">H117*'W Sites'!$K$7/(1+'W Assumptions'!$D$39)*INDEX('W Assumptions'!$D$12:$F$12,1,D117)*INDEX('W Assumptions'!$D$33:$F$33,1,D117)</f>
        <v>4930.4347826087</v>
      </c>
      <c r="K117" s="81" t="n">
        <f aca="false">'W Sites'!$L$7*F117*IF(((YEAR(C117)-YEAR('W Sites'!$F$7))*12+MONTH(C117)-MONTH('W Sites'!$F$7))=0,'W Assumptions'!$D$62,IF(((YEAR(C117)-YEAR('W Sites'!$F$7))*12+MONTH(C117)-MONTH('W Sites'!$F$7))=1,'W Assumptions'!$D$63,1))*INDEX('W Assumptions'!$D$7:$F$7,1,D117)*INDEX('W Assumptions'!$D$32:$F$32,1,D117)</f>
        <v>5000</v>
      </c>
      <c r="L117" s="81" t="n">
        <f aca="false">SUM(I117:K117)</f>
        <v>67452.1739130435</v>
      </c>
      <c r="M117" s="81" t="n">
        <f aca="false">'W Site Costs'!$I$7*F117*INDEX('W Assumptions'!$D$34:$F$34,1,D117)*INDEX('W Assumptions'!$D$22:$F$22,1,D117)</f>
        <v>32450</v>
      </c>
      <c r="N117" s="81" t="n">
        <f aca="false">'W Site Costs'!$J$7*F117*INDEX('W Assumptions'!$D$35:$F$35,1,D117)*INDEX('W Assumptions'!$D$22:$F$22,1,D117)</f>
        <v>0</v>
      </c>
      <c r="O117" s="81" t="n">
        <f aca="false">L117*'W Site Costs'!$K$7</f>
        <v>10117.8260869565</v>
      </c>
      <c r="P117" s="81" t="n">
        <f aca="false">SUM('W Site Costs'!$L$7:$Q$7)*F117*INDEX('W Assumptions'!$D$35:$F$35,1,D117)*INDEX('W Assumptions'!$D$22:$F$22,1,D117)</f>
        <v>11700</v>
      </c>
      <c r="Q117" s="81" t="n">
        <f aca="false">L117*'W Site Costs'!$R$7*INDEX('W Assumptions'!$D$17:$F$17,1,D117)</f>
        <v>4047.13043478261</v>
      </c>
      <c r="R117" s="112" t="n">
        <f aca="false">L117*'W Sites'!$M$7</f>
        <v>0</v>
      </c>
      <c r="S117" s="81" t="n">
        <f aca="false">SUM(M117:R117)</f>
        <v>58314.9565217391</v>
      </c>
      <c r="T117" s="81" t="n">
        <f aca="false">L117-S117</f>
        <v>9137.21739130436</v>
      </c>
      <c r="U117" s="81" t="n">
        <f aca="false">IF(C117='W Budget &amp; Owners'!$I$7,'W Budget &amp; Owners'!$F$7*'W Sites'!$G$7,0)</f>
        <v>0</v>
      </c>
      <c r="V117" s="81" t="n">
        <f aca="false">'W Sites'!$G$7*'W Budget &amp; Owners'!$E$7*INDEX('W Assumptions'!$D$27:$F$27,1,D117)*(IF(C117='W Budget &amp; Owners'!$I$7,'W Assumptions'!$D$65,0)+IF(C117=DATE(YEAR('W Sites'!$F$7),MONTH('W Sites'!$F$7),1),1-'W Assumptions'!$D$65,0))+'W Sites'!$G$7*'W Budget &amp; Owners'!$E$7*IF(C117=DATE(2027,9,1),'W Assumptions'!$D$67,IF(C117=DATE(2028,9,1),'W Assumptions'!$D$69,0))</f>
        <v>0</v>
      </c>
      <c r="W117" s="81" t="n">
        <f aca="false">IF(((YEAR(C117)-YEAR('W Sites'!$F$7))*12+MONTH(C117)-MONTH('W Sites'!$F$7))&lt;'W Budget &amp; Owners'!$H$7,'W Budget &amp; Owners'!$E$7/'W Budget &amp; Owners'!$H$7*F117,0)+IF(C117&gt;=DATE(2027,9,1),'W Budget &amp; Owners'!$E$7*'W Assumptions'!$D$67/'W Budget &amp; Owners'!$H$7*F117,0)+IF(C117&gt;=DATE(2028,9,1),'W Budget &amp; Owners'!$E$7*'W Assumptions'!$D$69/'W Budget &amp; Owners'!$H$7*F117,0)</f>
        <v>1333.33333333333</v>
      </c>
      <c r="X117" s="81" t="n">
        <f aca="false">IF(C117='W Budget &amp; Owners'!$I$7,'W Budget &amp; Owners'!$G$7*'W Sites'!$G$7,0)</f>
        <v>0</v>
      </c>
      <c r="Y117" s="112" t="n">
        <f aca="false">IF(SUM($G$116:$G$125)=0,0,'W Fees &amp; KPI'!$Q$17*G117/SUM($G$116:$G$125))</f>
        <v>3008.14800724638</v>
      </c>
      <c r="Z117" s="119" t="n">
        <f aca="false">IF(SUM($G$116:$G$125)=0,0,SUM('W Fees &amp; KPI'!$J$17,'W Fees &amp; KPI'!$M$17)*G117/SUM($G$116:$G$125))</f>
        <v>4086.25</v>
      </c>
      <c r="AA117" s="117" t="n">
        <f aca="false">T117-U117-Z117-Y117</f>
        <v>2042.81938405798</v>
      </c>
      <c r="AB117" s="119" t="n">
        <f aca="false">IF('W Fees &amp; KPI'!$D$17=0,0,T117-U117-Z117)</f>
        <v>5050.96739130436</v>
      </c>
    </row>
    <row r="118" customFormat="false" ht="21" hidden="false" customHeight="true" outlineLevel="0" collapsed="false">
      <c r="C118" s="144" t="n">
        <f aca="false">46600</f>
        <v>46600</v>
      </c>
      <c r="D118" s="81" t="n">
        <f aca="false">1</f>
        <v>1</v>
      </c>
      <c r="E118" s="81" t="str">
        <f aca="false">'W Sites'!C8</f>
        <v>S03</v>
      </c>
      <c r="F118" s="145" t="n">
        <f aca="false">'W Sites'!$G$8*MAX(0,EOMONTH(C118,0)-MAX(C118,'W Sites'!$F$8)+1)/DAY(EOMONTH(C118,0))</f>
        <v>1</v>
      </c>
      <c r="G118" s="145" t="n">
        <f aca="false">'W Sites'!$G$8*MAX(0,EOMONTH(C118,0)-MAX(C118,'W Sites'!$F$8,'W Assumptions'!$D$58)+1)/DAY(EOMONTH(C118,0))</f>
        <v>1</v>
      </c>
      <c r="H118" s="81" t="n">
        <f aca="false">'W Sites'!$H$8*F118*'W Sites'!$I$8*IF(((YEAR(C118)-YEAR('W Sites'!$F$8))*12+MONTH(C118)-MONTH('W Sites'!$F$8))=0,'W Assumptions'!$D$62,IF(((YEAR(C118)-YEAR('W Sites'!$F$8))*12+MONTH(C118)-MONTH('W Sites'!$F$8))=1,'W Assumptions'!$D$63,1))*INDEX('W Assumptions'!$D$7:$F$7,1,D118)*INDEX('W Assumptions'!$D$32:$F$32,1,D118)*INDEX('W Assumptions'!$D$80:$D$91,MONTH(C118),1)/AVERAGE('W Assumptions'!$D$80:$D$91)</f>
        <v>2552.05479452055</v>
      </c>
      <c r="I118" s="81" t="n">
        <f aca="false">H118*'W Sites'!$J$8/(1+'W Assumptions'!$D$39)*INDEX('W Assumptions'!$D$12:$F$12,1,D118)*INDEX('W Assumptions'!$D$33:$F$33,1,D118)</f>
        <v>144246.575342466</v>
      </c>
      <c r="J118" s="81" t="n">
        <f aca="false">H118*'W Sites'!$K$8/(1+'W Assumptions'!$D$39)*INDEX('W Assumptions'!$D$12:$F$12,1,D118)*INDEX('W Assumptions'!$D$33:$F$33,1,D118)</f>
        <v>17753.4246575342</v>
      </c>
      <c r="K118" s="81" t="n">
        <f aca="false">'W Sites'!$L$8*F118*IF(((YEAR(C118)-YEAR('W Sites'!$F$8))*12+MONTH(C118)-MONTH('W Sites'!$F$8))=0,'W Assumptions'!$D$62,IF(((YEAR(C118)-YEAR('W Sites'!$F$8))*12+MONTH(C118)-MONTH('W Sites'!$F$8))=1,'W Assumptions'!$D$63,1))*INDEX('W Assumptions'!$D$7:$F$7,1,D118)*INDEX('W Assumptions'!$D$32:$F$32,1,D118)</f>
        <v>20000</v>
      </c>
      <c r="L118" s="81" t="n">
        <f aca="false">SUM(I118:K118)</f>
        <v>182000</v>
      </c>
      <c r="M118" s="81" t="n">
        <f aca="false">'W Site Costs'!$I$8*F118*INDEX('W Assumptions'!$D$34:$F$34,1,D118)*INDEX('W Assumptions'!$D$22:$F$22,1,D118)</f>
        <v>48026</v>
      </c>
      <c r="N118" s="81" t="n">
        <f aca="false">'W Site Costs'!$J$8*F118*INDEX('W Assumptions'!$D$35:$F$35,1,D118)*INDEX('W Assumptions'!$D$22:$F$22,1,D118)</f>
        <v>35000</v>
      </c>
      <c r="O118" s="81" t="n">
        <f aca="false">L118*'W Site Costs'!$K$8</f>
        <v>0</v>
      </c>
      <c r="P118" s="81" t="n">
        <f aca="false">SUM('W Site Costs'!$L$8:$Q$8)*F118*INDEX('W Assumptions'!$D$35:$F$35,1,D118)*INDEX('W Assumptions'!$D$22:$F$22,1,D118)</f>
        <v>19500</v>
      </c>
      <c r="Q118" s="81" t="n">
        <f aca="false">L118*'W Site Costs'!$R$8*INDEX('W Assumptions'!$D$17:$F$17,1,D118)</f>
        <v>14560</v>
      </c>
      <c r="R118" s="112" t="n">
        <f aca="false">L118*'W Sites'!$M$8</f>
        <v>0</v>
      </c>
      <c r="S118" s="81" t="n">
        <f aca="false">SUM(M118:R118)</f>
        <v>117086</v>
      </c>
      <c r="T118" s="81" t="n">
        <f aca="false">L118-S118</f>
        <v>64914</v>
      </c>
      <c r="U118" s="81" t="n">
        <f aca="false">IF(C118='W Budget &amp; Owners'!$I$8,'W Budget &amp; Owners'!$F$8*'W Sites'!$G$8,0)</f>
        <v>0</v>
      </c>
      <c r="V118" s="81" t="n">
        <f aca="false">'W Sites'!$G$8*'W Budget &amp; Owners'!$E$8*INDEX('W Assumptions'!$D$27:$F$27,1,D118)*(IF(C118='W Budget &amp; Owners'!$I$8,'W Assumptions'!$D$65,0)+IF(C118=DATE(YEAR('W Sites'!$F$8),MONTH('W Sites'!$F$8),1),1-'W Assumptions'!$D$65,0))+'W Sites'!$G$8*'W Budget &amp; Owners'!$E$8*IF(C118=DATE(2027,9,1),'W Assumptions'!$D$67,IF(C118=DATE(2028,9,1),'W Assumptions'!$D$69,0))</f>
        <v>0</v>
      </c>
      <c r="W118" s="81" t="n">
        <f aca="false">IF(((YEAR(C118)-YEAR('W Sites'!$F$8))*12+MONTH(C118)-MONTH('W Sites'!$F$8))&lt;'W Budget &amp; Owners'!$H$8,'W Budget &amp; Owners'!$E$8/'W Budget &amp; Owners'!$H$8*F118,0)+IF(C118&gt;=DATE(2027,9,1),'W Budget &amp; Owners'!$E$8*'W Assumptions'!$D$67/'W Budget &amp; Owners'!$H$8*F118,0)+IF(C118&gt;=DATE(2028,9,1),'W Budget &amp; Owners'!$E$8*'W Assumptions'!$D$69/'W Budget &amp; Owners'!$H$8*F118,0)</f>
        <v>10000</v>
      </c>
      <c r="X118" s="81" t="n">
        <f aca="false">IF(C118='W Budget &amp; Owners'!$I$8,'W Budget &amp; Owners'!$G$8*'W Sites'!$G$8,0)</f>
        <v>0</v>
      </c>
      <c r="Y118" s="112" t="n">
        <f aca="false">IF(SUM($G$116:$G$125)=0,0,'W Fees &amp; KPI'!$Q$17*G118/SUM($G$116:$G$125))</f>
        <v>3008.14800724638</v>
      </c>
      <c r="Z118" s="119" t="n">
        <f aca="false">IF(SUM($G$116:$G$125)=0,0,SUM('W Fees &amp; KPI'!$J$17,'W Fees &amp; KPI'!$M$17)*G118/SUM($G$116:$G$125))</f>
        <v>4086.25</v>
      </c>
      <c r="AA118" s="117" t="n">
        <f aca="false">T118-U118-Z118-Y118</f>
        <v>57819.6019927537</v>
      </c>
      <c r="AB118" s="119" t="n">
        <f aca="false">IF('W Fees &amp; KPI'!$D$17=0,0,T118-U118-Z118)</f>
        <v>60827.75</v>
      </c>
    </row>
    <row r="119" customFormat="false" ht="21" hidden="false" customHeight="true" outlineLevel="0" collapsed="false">
      <c r="C119" s="144" t="n">
        <f aca="false">46600</f>
        <v>46600</v>
      </c>
      <c r="D119" s="81" t="n">
        <f aca="false">1</f>
        <v>1</v>
      </c>
      <c r="E119" s="81" t="str">
        <f aca="false">'W Sites'!C9</f>
        <v>S04</v>
      </c>
      <c r="F119" s="145" t="n">
        <f aca="false">'W Sites'!$G$9*MAX(0,EOMONTH(C119,0)-MAX(C119,'W Sites'!$F$9)+1)/DAY(EOMONTH(C119,0))</f>
        <v>1</v>
      </c>
      <c r="G119" s="145" t="n">
        <f aca="false">'W Sites'!$G$9*MAX(0,EOMONTH(C119,0)-MAX(C119,'W Sites'!$F$9,'W Assumptions'!$D$58)+1)/DAY(EOMONTH(C119,0))</f>
        <v>1</v>
      </c>
      <c r="H119" s="81" t="n">
        <f aca="false">'W Sites'!$H$9*F119*'W Sites'!$I$9*IF(((YEAR(C119)-YEAR('W Sites'!$F$9))*12+MONTH(C119)-MONTH('W Sites'!$F$9))=0,'W Assumptions'!$D$62,IF(((YEAR(C119)-YEAR('W Sites'!$F$9))*12+MONTH(C119)-MONTH('W Sites'!$F$9))=1,'W Assumptions'!$D$63,1))*INDEX('W Assumptions'!$D$7:$F$7,1,D119)*INDEX('W Assumptions'!$D$32:$F$32,1,D119)*INDEX('W Assumptions'!$D$80:$D$91,MONTH(C119),1)/AVERAGE('W Assumptions'!$D$80:$D$91)</f>
        <v>1796.875</v>
      </c>
      <c r="I119" s="81" t="n">
        <f aca="false">H119*'W Sites'!$J$9/(1+'W Assumptions'!$D$39)*INDEX('W Assumptions'!$D$12:$F$12,1,D119)*INDEX('W Assumptions'!$D$33:$F$33,1,D119)</f>
        <v>101562.5</v>
      </c>
      <c r="J119" s="81" t="n">
        <f aca="false">H119*'W Sites'!$K$9/(1+'W Assumptions'!$D$39)*INDEX('W Assumptions'!$D$12:$F$12,1,D119)*INDEX('W Assumptions'!$D$33:$F$33,1,D119)</f>
        <v>10937.5</v>
      </c>
      <c r="K119" s="81" t="n">
        <f aca="false">'W Sites'!$L$9*F119*IF(((YEAR(C119)-YEAR('W Sites'!$F$9))*12+MONTH(C119)-MONTH('W Sites'!$F$9))=0,'W Assumptions'!$D$62,IF(((YEAR(C119)-YEAR('W Sites'!$F$9))*12+MONTH(C119)-MONTH('W Sites'!$F$9))=1,'W Assumptions'!$D$63,1))*INDEX('W Assumptions'!$D$7:$F$7,1,D119)*INDEX('W Assumptions'!$D$32:$F$32,1,D119)</f>
        <v>15000</v>
      </c>
      <c r="L119" s="81" t="n">
        <f aca="false">SUM(I119:K119)</f>
        <v>127500</v>
      </c>
      <c r="M119" s="81" t="n">
        <f aca="false">'W Site Costs'!$I$9*F119*INDEX('W Assumptions'!$D$34:$F$34,1,D119)*INDEX('W Assumptions'!$D$22:$F$22,1,D119)</f>
        <v>37760</v>
      </c>
      <c r="N119" s="81" t="n">
        <f aca="false">'W Site Costs'!$J$9*F119*INDEX('W Assumptions'!$D$35:$F$35,1,D119)*INDEX('W Assumptions'!$D$22:$F$22,1,D119)</f>
        <v>22000</v>
      </c>
      <c r="O119" s="81" t="n">
        <f aca="false">L119*'W Site Costs'!$K$9</f>
        <v>0</v>
      </c>
      <c r="P119" s="81" t="n">
        <f aca="false">SUM('W Site Costs'!$L$9:$Q$9)*F119*INDEX('W Assumptions'!$D$35:$F$35,1,D119)*INDEX('W Assumptions'!$D$22:$F$22,1,D119)</f>
        <v>15500</v>
      </c>
      <c r="Q119" s="81" t="n">
        <f aca="false">L119*'W Site Costs'!$R$9*INDEX('W Assumptions'!$D$17:$F$17,1,D119)</f>
        <v>10200</v>
      </c>
      <c r="R119" s="112" t="n">
        <f aca="false">L119*'W Sites'!$M$9</f>
        <v>0</v>
      </c>
      <c r="S119" s="81" t="n">
        <f aca="false">SUM(M119:R119)</f>
        <v>85460</v>
      </c>
      <c r="T119" s="81" t="n">
        <f aca="false">L119-S119</f>
        <v>42040</v>
      </c>
      <c r="U119" s="81" t="n">
        <f aca="false">IF(C119='W Budget &amp; Owners'!$I$9,'W Budget &amp; Owners'!$F$9*'W Sites'!$G$9,0)</f>
        <v>0</v>
      </c>
      <c r="V119" s="81" t="n">
        <f aca="false">'W Sites'!$G$9*'W Budget &amp; Owners'!$E$9*INDEX('W Assumptions'!$D$27:$F$27,1,D119)*(IF(C119='W Budget &amp; Owners'!$I$9,'W Assumptions'!$D$65,0)+IF(C119=DATE(YEAR('W Sites'!$F$9),MONTH('W Sites'!$F$9),1),1-'W Assumptions'!$D$65,0))+'W Sites'!$G$9*'W Budget &amp; Owners'!$E$9*IF(C119=DATE(2027,9,1),'W Assumptions'!$D$67,IF(C119=DATE(2028,9,1),'W Assumptions'!$D$69,0))</f>
        <v>0</v>
      </c>
      <c r="W119" s="81" t="n">
        <f aca="false">IF(((YEAR(C119)-YEAR('W Sites'!$F$9))*12+MONTH(C119)-MONTH('W Sites'!$F$9))&lt;'W Budget &amp; Owners'!$H$9,'W Budget &amp; Owners'!$E$9/'W Budget &amp; Owners'!$H$9*F119,0)+IF(C119&gt;=DATE(2027,9,1),'W Budget &amp; Owners'!$E$9*'W Assumptions'!$D$67/'W Budget &amp; Owners'!$H$9*F119,0)+IF(C119&gt;=DATE(2028,9,1),'W Budget &amp; Owners'!$E$9*'W Assumptions'!$D$69/'W Budget &amp; Owners'!$H$9*F119,0)</f>
        <v>8333.33333333333</v>
      </c>
      <c r="X119" s="81" t="n">
        <f aca="false">IF(C119='W Budget &amp; Owners'!$I$9,'W Budget &amp; Owners'!$G$9*'W Sites'!$G$9,0)</f>
        <v>0</v>
      </c>
      <c r="Y119" s="112" t="n">
        <f aca="false">IF(SUM($G$116:$G$125)=0,0,'W Fees &amp; KPI'!$Q$17*G119/SUM($G$116:$G$125))</f>
        <v>3008.14800724638</v>
      </c>
      <c r="Z119" s="119" t="n">
        <f aca="false">IF(SUM($G$116:$G$125)=0,0,SUM('W Fees &amp; KPI'!$J$17,'W Fees &amp; KPI'!$M$17)*G119/SUM($G$116:$G$125))</f>
        <v>4086.25</v>
      </c>
      <c r="AA119" s="117" t="n">
        <f aca="false">T119-U119-Z119-Y119</f>
        <v>34945.6019927536</v>
      </c>
      <c r="AB119" s="119" t="n">
        <f aca="false">IF('W Fees &amp; KPI'!$D$17=0,0,T119-U119-Z119)</f>
        <v>37953.75</v>
      </c>
    </row>
    <row r="120" customFormat="false" ht="21" hidden="false" customHeight="true" outlineLevel="0" collapsed="false">
      <c r="C120" s="144" t="n">
        <f aca="false">46600</f>
        <v>46600</v>
      </c>
      <c r="D120" s="81" t="n">
        <f aca="false">1</f>
        <v>1</v>
      </c>
      <c r="E120" s="81" t="str">
        <f aca="false">'W Sites'!C10</f>
        <v>S05</v>
      </c>
      <c r="F120" s="145" t="n">
        <f aca="false">'W Sites'!$G$10*MAX(0,EOMONTH(C120,0)-MAX(C120,'W Sites'!$F$10)+1)/DAY(EOMONTH(C120,0))</f>
        <v>1</v>
      </c>
      <c r="G120" s="145" t="n">
        <f aca="false">'W Sites'!$G$10*MAX(0,EOMONTH(C120,0)-MAX(C120,'W Sites'!$F$10,'W Assumptions'!$D$58)+1)/DAY(EOMONTH(C120,0))</f>
        <v>1</v>
      </c>
      <c r="H120" s="81" t="n">
        <f aca="false">'W Sites'!$H$10*F120*'W Sites'!$I$10*IF(((YEAR(C120)-YEAR('W Sites'!$F$10))*12+MONTH(C120)-MONTH('W Sites'!$F$10))=0,'W Assumptions'!$D$62,IF(((YEAR(C120)-YEAR('W Sites'!$F$10))*12+MONTH(C120)-MONTH('W Sites'!$F$10))=1,'W Assumptions'!$D$63,1))*INDEX('W Assumptions'!$D$7:$F$7,1,D120)*INDEX('W Assumptions'!$D$32:$F$32,1,D120)*INDEX('W Assumptions'!$D$80:$D$91,MONTH(C120),1)/AVERAGE('W Assumptions'!$D$80:$D$91)</f>
        <v>2296.84931506849</v>
      </c>
      <c r="I120" s="81" t="n">
        <f aca="false">H120*'W Sites'!$J$10/(1+'W Assumptions'!$D$39)*INDEX('W Assumptions'!$D$12:$F$12,1,D120)*INDEX('W Assumptions'!$D$33:$F$33,1,D120)</f>
        <v>129821.917808219</v>
      </c>
      <c r="J120" s="81" t="n">
        <f aca="false">H120*'W Sites'!$K$10/(1+'W Assumptions'!$D$39)*INDEX('W Assumptions'!$D$12:$F$12,1,D120)*INDEX('W Assumptions'!$D$33:$F$33,1,D120)</f>
        <v>15978.0821917808</v>
      </c>
      <c r="K120" s="81" t="n">
        <f aca="false">'W Sites'!$L$10*F120*IF(((YEAR(C120)-YEAR('W Sites'!$F$10))*12+MONTH(C120)-MONTH('W Sites'!$F$10))=0,'W Assumptions'!$D$62,IF(((YEAR(C120)-YEAR('W Sites'!$F$10))*12+MONTH(C120)-MONTH('W Sites'!$F$10))=1,'W Assumptions'!$D$63,1))*INDEX('W Assumptions'!$D$7:$F$7,1,D120)*INDEX('W Assumptions'!$D$32:$F$32,1,D120)</f>
        <v>18000</v>
      </c>
      <c r="L120" s="81" t="n">
        <f aca="false">SUM(I120:K120)</f>
        <v>163800</v>
      </c>
      <c r="M120" s="81" t="n">
        <f aca="false">'W Site Costs'!$I$10*F120*INDEX('W Assumptions'!$D$34:$F$34,1,D120)*INDEX('W Assumptions'!$D$22:$F$22,1,D120)</f>
        <v>48026</v>
      </c>
      <c r="N120" s="81" t="n">
        <f aca="false">'W Site Costs'!$J$10*F120*INDEX('W Assumptions'!$D$35:$F$35,1,D120)*INDEX('W Assumptions'!$D$22:$F$22,1,D120)</f>
        <v>30000</v>
      </c>
      <c r="O120" s="81" t="n">
        <f aca="false">L120*'W Site Costs'!$K$10</f>
        <v>0</v>
      </c>
      <c r="P120" s="81" t="n">
        <f aca="false">SUM('W Site Costs'!$L$10:$Q$10)*F120*INDEX('W Assumptions'!$D$35:$F$35,1,D120)*INDEX('W Assumptions'!$D$22:$F$22,1,D120)</f>
        <v>19000</v>
      </c>
      <c r="Q120" s="81" t="n">
        <f aca="false">L120*'W Site Costs'!$R$10*INDEX('W Assumptions'!$D$17:$F$17,1,D120)</f>
        <v>13104</v>
      </c>
      <c r="R120" s="112" t="n">
        <f aca="false">L120*'W Sites'!$M$10</f>
        <v>0</v>
      </c>
      <c r="S120" s="81" t="n">
        <f aca="false">SUM(M120:R120)</f>
        <v>110130</v>
      </c>
      <c r="T120" s="81" t="n">
        <f aca="false">L120-S120</f>
        <v>53670</v>
      </c>
      <c r="U120" s="81" t="n">
        <f aca="false">IF(C120='W Budget &amp; Owners'!$I$10,'W Budget &amp; Owners'!$F$10*'W Sites'!$G$10,0)</f>
        <v>0</v>
      </c>
      <c r="V120" s="81" t="n">
        <f aca="false">'W Sites'!$G$10*'W Budget &amp; Owners'!$E$10*INDEX('W Assumptions'!$D$27:$F$27,1,D120)*(IF(C120='W Budget &amp; Owners'!$I$10,'W Assumptions'!$D$65,0)+IF(C120=DATE(YEAR('W Sites'!$F$10),MONTH('W Sites'!$F$10),1),1-'W Assumptions'!$D$65,0))+'W Sites'!$G$10*'W Budget &amp; Owners'!$E$10*IF(C120=DATE(2027,9,1),'W Assumptions'!$D$67,IF(C120=DATE(2028,9,1),'W Assumptions'!$D$69,0))</f>
        <v>0</v>
      </c>
      <c r="W120" s="81" t="n">
        <f aca="false">IF(((YEAR(C120)-YEAR('W Sites'!$F$10))*12+MONTH(C120)-MONTH('W Sites'!$F$10))&lt;'W Budget &amp; Owners'!$H$10,'W Budget &amp; Owners'!$E$10/'W Budget &amp; Owners'!$H$10*F120,0)+IF(C120&gt;=DATE(2027,9,1),'W Budget &amp; Owners'!$E$10*'W Assumptions'!$D$67/'W Budget &amp; Owners'!$H$10*F120,0)+IF(C120&gt;=DATE(2028,9,1),'W Budget &amp; Owners'!$E$10*'W Assumptions'!$D$69/'W Budget &amp; Owners'!$H$10*F120,0)</f>
        <v>12500</v>
      </c>
      <c r="X120" s="81" t="n">
        <f aca="false">IF(C120='W Budget &amp; Owners'!$I$10,'W Budget &amp; Owners'!$G$10*'W Sites'!$G$10,0)</f>
        <v>0</v>
      </c>
      <c r="Y120" s="112" t="n">
        <f aca="false">IF(SUM($G$116:$G$125)=0,0,'W Fees &amp; KPI'!$Q$17*G120/SUM($G$116:$G$125))</f>
        <v>3008.14800724638</v>
      </c>
      <c r="Z120" s="119" t="n">
        <f aca="false">IF(SUM($G$116:$G$125)=0,0,SUM('W Fees &amp; KPI'!$J$17,'W Fees &amp; KPI'!$M$17)*G120/SUM($G$116:$G$125))</f>
        <v>4086.25</v>
      </c>
      <c r="AA120" s="117" t="n">
        <f aca="false">T120-U120-Z120-Y120</f>
        <v>46575.6019927537</v>
      </c>
      <c r="AB120" s="119" t="n">
        <f aca="false">IF('W Fees &amp; KPI'!$D$17=0,0,T120-U120-Z120)</f>
        <v>49583.75</v>
      </c>
    </row>
    <row r="121" customFormat="false" ht="21" hidden="false" customHeight="true" outlineLevel="0" collapsed="false">
      <c r="C121" s="144" t="n">
        <f aca="false">46600</f>
        <v>46600</v>
      </c>
      <c r="D121" s="81" t="n">
        <f aca="false">1</f>
        <v>1</v>
      </c>
      <c r="E121" s="81" t="str">
        <f aca="false">'W Sites'!C11</f>
        <v>S06</v>
      </c>
      <c r="F121" s="145" t="n">
        <f aca="false">'W Sites'!$G$11*MAX(0,EOMONTH(C121,0)-MAX(C121,'W Sites'!$F$11)+1)/DAY(EOMONTH(C121,0))</f>
        <v>1</v>
      </c>
      <c r="G121" s="145" t="n">
        <f aca="false">'W Sites'!$G$11*MAX(0,EOMONTH(C121,0)-MAX(C121,'W Sites'!$F$11,'W Assumptions'!$D$58)+1)/DAY(EOMONTH(C121,0))</f>
        <v>1</v>
      </c>
      <c r="H121" s="81" t="n">
        <f aca="false">'W Sites'!$H$11*F121*'W Sites'!$I$11*IF(((YEAR(C121)-YEAR('W Sites'!$F$11))*12+MONTH(C121)-MONTH('W Sites'!$F$11))=0,'W Assumptions'!$D$62,IF(((YEAR(C121)-YEAR('W Sites'!$F$11))*12+MONTH(C121)-MONTH('W Sites'!$F$11))=1,'W Assumptions'!$D$63,1))*INDEX('W Assumptions'!$D$7:$F$7,1,D121)*INDEX('W Assumptions'!$D$32:$F$32,1,D121)*INDEX('W Assumptions'!$D$80:$D$91,MONTH(C121),1)/AVERAGE('W Assumptions'!$D$80:$D$91)</f>
        <v>702</v>
      </c>
      <c r="I121" s="81" t="n">
        <f aca="false">H121*'W Sites'!$J$11/(1+'W Assumptions'!$D$39)*INDEX('W Assumptions'!$D$12:$F$12,1,D121)*INDEX('W Assumptions'!$D$33:$F$33,1,D121)</f>
        <v>36626.0869565217</v>
      </c>
      <c r="J121" s="81" t="n">
        <f aca="false">H121*'W Sites'!$K$11/(1+'W Assumptions'!$D$39)*INDEX('W Assumptions'!$D$12:$F$12,1,D121)*INDEX('W Assumptions'!$D$33:$F$33,1,D121)</f>
        <v>1831.30434782609</v>
      </c>
      <c r="K121" s="81" t="n">
        <f aca="false">'W Sites'!$L$11*F121*IF(((YEAR(C121)-YEAR('W Sites'!$F$11))*12+MONTH(C121)-MONTH('W Sites'!$F$11))=0,'W Assumptions'!$D$62,IF(((YEAR(C121)-YEAR('W Sites'!$F$11))*12+MONTH(C121)-MONTH('W Sites'!$F$11))=1,'W Assumptions'!$D$63,1))*INDEX('W Assumptions'!$D$7:$F$7,1,D121)*INDEX('W Assumptions'!$D$32:$F$32,1,D121)</f>
        <v>20000</v>
      </c>
      <c r="L121" s="81" t="n">
        <f aca="false">SUM(I121:K121)</f>
        <v>58457.3913043478</v>
      </c>
      <c r="M121" s="81" t="n">
        <f aca="false">'W Site Costs'!$I$11*F121*INDEX('W Assumptions'!$D$34:$F$34,1,D121)*INDEX('W Assumptions'!$D$22:$F$22,1,D121)</f>
        <v>23836</v>
      </c>
      <c r="N121" s="81" t="n">
        <f aca="false">'W Site Costs'!$J$11*F121*INDEX('W Assumptions'!$D$35:$F$35,1,D121)*INDEX('W Assumptions'!$D$22:$F$22,1,D121)</f>
        <v>5000</v>
      </c>
      <c r="O121" s="81" t="n">
        <f aca="false">L121*'W Site Costs'!$K$11</f>
        <v>0</v>
      </c>
      <c r="P121" s="81" t="n">
        <f aca="false">SUM('W Site Costs'!$L$11:$Q$11)*F121*INDEX('W Assumptions'!$D$35:$F$35,1,D121)*INDEX('W Assumptions'!$D$22:$F$22,1,D121)</f>
        <v>8000</v>
      </c>
      <c r="Q121" s="81" t="n">
        <f aca="false">L121*'W Site Costs'!$R$11*INDEX('W Assumptions'!$D$17:$F$17,1,D121)</f>
        <v>5845.73913043478</v>
      </c>
      <c r="R121" s="112" t="n">
        <f aca="false">L121*'W Sites'!$M$11</f>
        <v>0</v>
      </c>
      <c r="S121" s="81" t="n">
        <f aca="false">SUM(M121:R121)</f>
        <v>42681.7391304348</v>
      </c>
      <c r="T121" s="81" t="n">
        <f aca="false">L121-S121</f>
        <v>15775.652173913</v>
      </c>
      <c r="U121" s="81" t="n">
        <f aca="false">IF(C121='W Budget &amp; Owners'!$I$11,'W Budget &amp; Owners'!$F$11*'W Sites'!$G$11,0)</f>
        <v>0</v>
      </c>
      <c r="V121" s="81" t="n">
        <f aca="false">'W Sites'!$G$11*'W Budget &amp; Owners'!$E$11*INDEX('W Assumptions'!$D$27:$F$27,1,D121)*(IF(C121='W Budget &amp; Owners'!$I$11,'W Assumptions'!$D$65,0)+IF(C121=DATE(YEAR('W Sites'!$F$11),MONTH('W Sites'!$F$11),1),1-'W Assumptions'!$D$65,0))+'W Sites'!$G$11*'W Budget &amp; Owners'!$E$11*IF(C121=DATE(2027,9,1),'W Assumptions'!$D$67,IF(C121=DATE(2028,9,1),'W Assumptions'!$D$69,0))</f>
        <v>0</v>
      </c>
      <c r="W121" s="81" t="n">
        <f aca="false">IF(((YEAR(C121)-YEAR('W Sites'!$F$11))*12+MONTH(C121)-MONTH('W Sites'!$F$11))&lt;'W Budget &amp; Owners'!$H$11,'W Budget &amp; Owners'!$E$11/'W Budget &amp; Owners'!$H$11*F121,0)+IF(C121&gt;=DATE(2027,9,1),'W Budget &amp; Owners'!$E$11*'W Assumptions'!$D$67/'W Budget &amp; Owners'!$H$11*F121,0)+IF(C121&gt;=DATE(2028,9,1),'W Budget &amp; Owners'!$E$11*'W Assumptions'!$D$69/'W Budget &amp; Owners'!$H$11*F121,0)</f>
        <v>2500</v>
      </c>
      <c r="X121" s="81" t="n">
        <f aca="false">IF(C121='W Budget &amp; Owners'!$I$11,'W Budget &amp; Owners'!$G$11*'W Sites'!$G$11,0)</f>
        <v>0</v>
      </c>
      <c r="Y121" s="112" t="n">
        <f aca="false">IF(SUM($G$116:$G$125)=0,0,'W Fees &amp; KPI'!$Q$17*G121/SUM($G$116:$G$125))</f>
        <v>3008.14800724638</v>
      </c>
      <c r="Z121" s="119" t="n">
        <f aca="false">IF(SUM($G$116:$G$125)=0,0,SUM('W Fees &amp; KPI'!$J$17,'W Fees &amp; KPI'!$M$17)*G121/SUM($G$116:$G$125))</f>
        <v>4086.25</v>
      </c>
      <c r="AA121" s="117" t="n">
        <f aca="false">T121-U121-Z121-Y121</f>
        <v>8681.25416666667</v>
      </c>
      <c r="AB121" s="119" t="n">
        <f aca="false">IF('W Fees &amp; KPI'!$D$17=0,0,T121-U121-Z121)</f>
        <v>11689.402173913</v>
      </c>
    </row>
    <row r="122" customFormat="false" ht="21" hidden="false" customHeight="true" outlineLevel="0" collapsed="false">
      <c r="C122" s="144" t="n">
        <f aca="false">46600</f>
        <v>46600</v>
      </c>
      <c r="D122" s="81" t="n">
        <f aca="false">1</f>
        <v>1</v>
      </c>
      <c r="E122" s="81" t="str">
        <f aca="false">'W Sites'!C12</f>
        <v>S07</v>
      </c>
      <c r="F122" s="145" t="n">
        <f aca="false">'W Sites'!$G$12*MAX(0,EOMONTH(C122,0)-MAX(C122,'W Sites'!$F$12)+1)/DAY(EOMONTH(C122,0))</f>
        <v>1</v>
      </c>
      <c r="G122" s="145" t="n">
        <f aca="false">'W Sites'!$G$12*MAX(0,EOMONTH(C122,0)-MAX(C122,'W Sites'!$F$12,'W Assumptions'!$D$58)+1)/DAY(EOMONTH(C122,0))</f>
        <v>1</v>
      </c>
      <c r="H122" s="81" t="n">
        <f aca="false">'W Sites'!$H$12*F122*'W Sites'!$I$12*IF(((YEAR(C122)-YEAR('W Sites'!$F$12))*12+MONTH(C122)-MONTH('W Sites'!$F$12))=0,'W Assumptions'!$D$62,IF(((YEAR(C122)-YEAR('W Sites'!$F$12))*12+MONTH(C122)-MONTH('W Sites'!$F$12))=1,'W Assumptions'!$D$63,1))*INDEX('W Assumptions'!$D$7:$F$7,1,D122)*INDEX('W Assumptions'!$D$32:$F$32,1,D122)*INDEX('W Assumptions'!$D$80:$D$91,MONTH(C122),1)/AVERAGE('W Assumptions'!$D$80:$D$91)</f>
        <v>819</v>
      </c>
      <c r="I122" s="81" t="n">
        <f aca="false">H122*'W Sites'!$J$12/(1+'W Assumptions'!$D$39)*INDEX('W Assumptions'!$D$12:$F$12,1,D122)*INDEX('W Assumptions'!$D$33:$F$33,1,D122)</f>
        <v>42730.4347826087</v>
      </c>
      <c r="J122" s="81" t="n">
        <f aca="false">H122*'W Sites'!$K$12/(1+'W Assumptions'!$D$39)*INDEX('W Assumptions'!$D$12:$F$12,1,D122)*INDEX('W Assumptions'!$D$33:$F$33,1,D122)</f>
        <v>2136.52173913044</v>
      </c>
      <c r="K122" s="81" t="n">
        <f aca="false">'W Sites'!$L$12*F122*IF(((YEAR(C122)-YEAR('W Sites'!$F$12))*12+MONTH(C122)-MONTH('W Sites'!$F$12))=0,'W Assumptions'!$D$62,IF(((YEAR(C122)-YEAR('W Sites'!$F$12))*12+MONTH(C122)-MONTH('W Sites'!$F$12))=1,'W Assumptions'!$D$63,1))*INDEX('W Assumptions'!$D$7:$F$7,1,D122)*INDEX('W Assumptions'!$D$32:$F$32,1,D122)</f>
        <v>18000</v>
      </c>
      <c r="L122" s="81" t="n">
        <f aca="false">SUM(I122:K122)</f>
        <v>62866.9565217391</v>
      </c>
      <c r="M122" s="81" t="n">
        <f aca="false">'W Site Costs'!$I$12*F122*INDEX('W Assumptions'!$D$34:$F$34,1,D122)*INDEX('W Assumptions'!$D$22:$F$22,1,D122)</f>
        <v>23836</v>
      </c>
      <c r="N122" s="81" t="n">
        <f aca="false">'W Site Costs'!$J$12*F122*INDEX('W Assumptions'!$D$35:$F$35,1,D122)*INDEX('W Assumptions'!$D$22:$F$22,1,D122)</f>
        <v>8000</v>
      </c>
      <c r="O122" s="81" t="n">
        <f aca="false">L122*'W Site Costs'!$K$12</f>
        <v>0</v>
      </c>
      <c r="P122" s="81" t="n">
        <f aca="false">SUM('W Site Costs'!$L$12:$Q$12)*F122*INDEX('W Assumptions'!$D$35:$F$35,1,D122)*INDEX('W Assumptions'!$D$22:$F$22,1,D122)</f>
        <v>8500</v>
      </c>
      <c r="Q122" s="81" t="n">
        <f aca="false">L122*'W Site Costs'!$R$12*INDEX('W Assumptions'!$D$17:$F$17,1,D122)</f>
        <v>6286.69565217391</v>
      </c>
      <c r="R122" s="112" t="n">
        <f aca="false">L122*'W Sites'!$M$12</f>
        <v>0</v>
      </c>
      <c r="S122" s="81" t="n">
        <f aca="false">SUM(M122:R122)</f>
        <v>46622.6956521739</v>
      </c>
      <c r="T122" s="81" t="n">
        <f aca="false">L122-S122</f>
        <v>16244.2608695652</v>
      </c>
      <c r="U122" s="81" t="n">
        <f aca="false">IF(C122='W Budget &amp; Owners'!$I$12,'W Budget &amp; Owners'!$F$12*'W Sites'!$G$12,0)</f>
        <v>0</v>
      </c>
      <c r="V122" s="81" t="n">
        <f aca="false">'W Sites'!$G$12*'W Budget &amp; Owners'!$E$12*INDEX('W Assumptions'!$D$27:$F$27,1,D122)*(IF(C122='W Budget &amp; Owners'!$I$12,'W Assumptions'!$D$65,0)+IF(C122=DATE(YEAR('W Sites'!$F$12),MONTH('W Sites'!$F$12),1),1-'W Assumptions'!$D$65,0))+'W Sites'!$G$12*'W Budget &amp; Owners'!$E$12*IF(C122=DATE(2027,9,1),'W Assumptions'!$D$67,IF(C122=DATE(2028,9,1),'W Assumptions'!$D$69,0))</f>
        <v>0</v>
      </c>
      <c r="W122" s="81" t="n">
        <f aca="false">IF(((YEAR(C122)-YEAR('W Sites'!$F$12))*12+MONTH(C122)-MONTH('W Sites'!$F$12))&lt;'W Budget &amp; Owners'!$H$12,'W Budget &amp; Owners'!$E$12/'W Budget &amp; Owners'!$H$12*F122,0)+IF(C122&gt;=DATE(2027,9,1),'W Budget &amp; Owners'!$E$12*'W Assumptions'!$D$67/'W Budget &amp; Owners'!$H$12*F122,0)+IF(C122&gt;=DATE(2028,9,1),'W Budget &amp; Owners'!$E$12*'W Assumptions'!$D$69/'W Budget &amp; Owners'!$H$12*F122,0)</f>
        <v>7500</v>
      </c>
      <c r="X122" s="81" t="n">
        <f aca="false">IF(C122='W Budget &amp; Owners'!$I$12,'W Budget &amp; Owners'!$G$12*'W Sites'!$G$12,0)</f>
        <v>0</v>
      </c>
      <c r="Y122" s="112" t="n">
        <f aca="false">IF(SUM($G$116:$G$125)=0,0,'W Fees &amp; KPI'!$Q$17*G122/SUM($G$116:$G$125))</f>
        <v>3008.14800724638</v>
      </c>
      <c r="Z122" s="119" t="n">
        <f aca="false">IF(SUM($G$116:$G$125)=0,0,SUM('W Fees &amp; KPI'!$J$17,'W Fees &amp; KPI'!$M$17)*G122/SUM($G$116:$G$125))</f>
        <v>4086.25</v>
      </c>
      <c r="AA122" s="117" t="n">
        <f aca="false">T122-U122-Z122-Y122</f>
        <v>9149.86286231884</v>
      </c>
      <c r="AB122" s="119" t="n">
        <f aca="false">IF('W Fees &amp; KPI'!$D$17=0,0,T122-U122-Z122)</f>
        <v>12158.0108695652</v>
      </c>
    </row>
    <row r="123" customFormat="false" ht="21" hidden="false" customHeight="true" outlineLevel="0" collapsed="false">
      <c r="C123" s="144" t="n">
        <f aca="false">46600</f>
        <v>46600</v>
      </c>
      <c r="D123" s="81" t="n">
        <f aca="false">1</f>
        <v>1</v>
      </c>
      <c r="E123" s="81" t="str">
        <f aca="false">'W Sites'!C13</f>
        <v>S08</v>
      </c>
      <c r="F123" s="145" t="n">
        <f aca="false">'W Sites'!$G$13*MAX(0,EOMONTH(C123,0)-MAX(C123,'W Sites'!$F$13)+1)/DAY(EOMONTH(C123,0))</f>
        <v>1</v>
      </c>
      <c r="G123" s="145" t="n">
        <f aca="false">'W Sites'!$G$13*MAX(0,EOMONTH(C123,0)-MAX(C123,'W Sites'!$F$13,'W Assumptions'!$D$58)+1)/DAY(EOMONTH(C123,0))</f>
        <v>1</v>
      </c>
      <c r="H123" s="81" t="n">
        <f aca="false">'W Sites'!$H$13*F123*'W Sites'!$I$13*IF(((YEAR(C123)-YEAR('W Sites'!$F$13))*12+MONTH(C123)-MONTH('W Sites'!$F$13))=0,'W Assumptions'!$D$62,IF(((YEAR(C123)-YEAR('W Sites'!$F$13))*12+MONTH(C123)-MONTH('W Sites'!$F$13))=1,'W Assumptions'!$D$63,1))*INDEX('W Assumptions'!$D$7:$F$7,1,D123)*INDEX('W Assumptions'!$D$32:$F$32,1,D123)*INDEX('W Assumptions'!$D$80:$D$91,MONTH(C123),1)/AVERAGE('W Assumptions'!$D$80:$D$91)</f>
        <v>3510</v>
      </c>
      <c r="I123" s="81" t="n">
        <f aca="false">H123*'W Sites'!$J$13/(1+'W Assumptions'!$D$39)*INDEX('W Assumptions'!$D$12:$F$12,1,D123)*INDEX('W Assumptions'!$D$33:$F$33,1,D123)</f>
        <v>122086.956521739</v>
      </c>
      <c r="J123" s="81" t="n">
        <f aca="false">H123*'W Sites'!$K$13/(1+'W Assumptions'!$D$39)*INDEX('W Assumptions'!$D$12:$F$12,1,D123)*INDEX('W Assumptions'!$D$33:$F$33,1,D123)</f>
        <v>15260.8695652174</v>
      </c>
      <c r="K123" s="81" t="n">
        <f aca="false">'W Sites'!$L$13*F123*IF(((YEAR(C123)-YEAR('W Sites'!$F$13))*12+MONTH(C123)-MONTH('W Sites'!$F$13))=0,'W Assumptions'!$D$62,IF(((YEAR(C123)-YEAR('W Sites'!$F$13))*12+MONTH(C123)-MONTH('W Sites'!$F$13))=1,'W Assumptions'!$D$63,1))*INDEX('W Assumptions'!$D$7:$F$7,1,D123)*INDEX('W Assumptions'!$D$32:$F$32,1,D123)</f>
        <v>15000</v>
      </c>
      <c r="L123" s="81" t="n">
        <f aca="false">SUM(I123:K123)</f>
        <v>152347.826086957</v>
      </c>
      <c r="M123" s="81" t="n">
        <f aca="false">'W Site Costs'!$I$13*F123*INDEX('W Assumptions'!$D$34:$F$34,1,D123)*INDEX('W Assumptions'!$D$22:$F$22,1,D123)</f>
        <v>53336</v>
      </c>
      <c r="N123" s="81" t="n">
        <f aca="false">'W Site Costs'!$J$13*F123*INDEX('W Assumptions'!$D$35:$F$35,1,D123)*INDEX('W Assumptions'!$D$22:$F$22,1,D123)</f>
        <v>0</v>
      </c>
      <c r="O123" s="81" t="n">
        <f aca="false">L123*'W Site Costs'!$K$13</f>
        <v>15234.7826086957</v>
      </c>
      <c r="P123" s="81" t="n">
        <f aca="false">SUM('W Site Costs'!$L$13:$Q$13)*F123*INDEX('W Assumptions'!$D$35:$F$35,1,D123)*INDEX('W Assumptions'!$D$22:$F$22,1,D123)</f>
        <v>25500</v>
      </c>
      <c r="Q123" s="81" t="n">
        <f aca="false">L123*'W Site Costs'!$R$13*INDEX('W Assumptions'!$D$17:$F$17,1,D123)</f>
        <v>12187.8260869565</v>
      </c>
      <c r="R123" s="112" t="n">
        <f aca="false">L123*'W Sites'!$M$13</f>
        <v>0</v>
      </c>
      <c r="S123" s="81" t="n">
        <f aca="false">SUM(M123:R123)</f>
        <v>106258.608695652</v>
      </c>
      <c r="T123" s="81" t="n">
        <f aca="false">L123-S123</f>
        <v>46089.2173913044</v>
      </c>
      <c r="U123" s="81" t="n">
        <f aca="false">IF(C123='W Budget &amp; Owners'!$I$13,'W Budget &amp; Owners'!$F$13*'W Sites'!$G$13,0)</f>
        <v>0</v>
      </c>
      <c r="V123" s="81" t="n">
        <f aca="false">'W Sites'!$G$13*'W Budget &amp; Owners'!$E$13*INDEX('W Assumptions'!$D$27:$F$27,1,D123)*(IF(C123='W Budget &amp; Owners'!$I$13,'W Assumptions'!$D$65,0)+IF(C123=DATE(YEAR('W Sites'!$F$13),MONTH('W Sites'!$F$13),1),1-'W Assumptions'!$D$65,0))+'W Sites'!$G$13*'W Budget &amp; Owners'!$E$13*IF(C123=DATE(2027,9,1),'W Assumptions'!$D$67,IF(C123=DATE(2028,9,1),'W Assumptions'!$D$69,0))</f>
        <v>0</v>
      </c>
      <c r="W123" s="81" t="n">
        <f aca="false">IF(((YEAR(C123)-YEAR('W Sites'!$F$13))*12+MONTH(C123)-MONTH('W Sites'!$F$13))&lt;'W Budget &amp; Owners'!$H$13,'W Budget &amp; Owners'!$E$13/'W Budget &amp; Owners'!$H$13*F123,0)+IF(C123&gt;=DATE(2027,9,1),'W Budget &amp; Owners'!$E$13*'W Assumptions'!$D$67/'W Budget &amp; Owners'!$H$13*F123,0)+IF(C123&gt;=DATE(2028,9,1),'W Budget &amp; Owners'!$E$13*'W Assumptions'!$D$69/'W Budget &amp; Owners'!$H$13*F123,0)</f>
        <v>20000</v>
      </c>
      <c r="X123" s="81" t="n">
        <f aca="false">IF(C123='W Budget &amp; Owners'!$I$13,'W Budget &amp; Owners'!$G$13*'W Sites'!$G$13,0)</f>
        <v>0</v>
      </c>
      <c r="Y123" s="112" t="n">
        <f aca="false">IF(SUM($G$116:$G$125)=0,0,'W Fees &amp; KPI'!$Q$17*G123/SUM($G$116:$G$125))</f>
        <v>3008.14800724638</v>
      </c>
      <c r="Z123" s="119" t="n">
        <f aca="false">IF(SUM($G$116:$G$125)=0,0,SUM('W Fees &amp; KPI'!$J$17,'W Fees &amp; KPI'!$M$17)*G123/SUM($G$116:$G$125))</f>
        <v>4086.25</v>
      </c>
      <c r="AA123" s="117" t="n">
        <f aca="false">T123-U123-Z123-Y123</f>
        <v>38994.819384058</v>
      </c>
      <c r="AB123" s="119" t="n">
        <f aca="false">IF('W Fees &amp; KPI'!$D$17=0,0,T123-U123-Z123)</f>
        <v>42002.9673913044</v>
      </c>
    </row>
    <row r="124" customFormat="false" ht="21" hidden="false" customHeight="true" outlineLevel="0" collapsed="false">
      <c r="C124" s="144" t="n">
        <f aca="false">46600</f>
        <v>46600</v>
      </c>
      <c r="D124" s="81" t="n">
        <f aca="false">1</f>
        <v>1</v>
      </c>
      <c r="E124" s="81" t="str">
        <f aca="false">'W Sites'!C14</f>
        <v>S09</v>
      </c>
      <c r="F124" s="145" t="n">
        <f aca="false">'W Sites'!$G$14*MAX(0,EOMONTH(C124,0)-MAX(C124,'W Sites'!$F$14)+1)/DAY(EOMONTH(C124,0))</f>
        <v>0</v>
      </c>
      <c r="G124" s="145" t="n">
        <f aca="false">'W Sites'!$G$14*MAX(0,EOMONTH(C124,0)-MAX(C124,'W Sites'!$F$14,'W Assumptions'!$D$58)+1)/DAY(EOMONTH(C124,0))</f>
        <v>0</v>
      </c>
      <c r="H124" s="81" t="n">
        <f aca="false">'W Sites'!$H$14*F124*'W Sites'!$I$14*IF(((YEAR(C124)-YEAR('W Sites'!$F$14))*12+MONTH(C124)-MONTH('W Sites'!$F$14))=0,'W Assumptions'!$D$62,IF(((YEAR(C124)-YEAR('W Sites'!$F$14))*12+MONTH(C124)-MONTH('W Sites'!$F$14))=1,'W Assumptions'!$D$63,1))*INDEX('W Assumptions'!$D$7:$F$7,1,D124)*INDEX('W Assumptions'!$D$32:$F$32,1,D124)*INDEX('W Assumptions'!$D$80:$D$91,MONTH(C124),1)/AVERAGE('W Assumptions'!$D$80:$D$91)</f>
        <v>0</v>
      </c>
      <c r="I124" s="81" t="n">
        <f aca="false">H124*'W Sites'!$J$14/(1+'W Assumptions'!$D$39)*INDEX('W Assumptions'!$D$12:$F$12,1,D124)*INDEX('W Assumptions'!$D$33:$F$33,1,D124)</f>
        <v>0</v>
      </c>
      <c r="J124" s="81" t="n">
        <f aca="false">H124*'W Sites'!$K$14/(1+'W Assumptions'!$D$39)*INDEX('W Assumptions'!$D$12:$F$12,1,D124)*INDEX('W Assumptions'!$D$33:$F$33,1,D124)</f>
        <v>0</v>
      </c>
      <c r="K124" s="81" t="n">
        <f aca="false">'W Sites'!$L$14*F124*IF(((YEAR(C124)-YEAR('W Sites'!$F$14))*12+MONTH(C124)-MONTH('W Sites'!$F$14))=0,'W Assumptions'!$D$62,IF(((YEAR(C124)-YEAR('W Sites'!$F$14))*12+MONTH(C124)-MONTH('W Sites'!$F$14))=1,'W Assumptions'!$D$63,1))*INDEX('W Assumptions'!$D$7:$F$7,1,D124)*INDEX('W Assumptions'!$D$32:$F$32,1,D124)</f>
        <v>0</v>
      </c>
      <c r="L124" s="81" t="n">
        <f aca="false">SUM(I124:K124)</f>
        <v>0</v>
      </c>
      <c r="M124" s="81" t="n">
        <f aca="false">'W Site Costs'!$I$14*F124*INDEX('W Assumptions'!$D$34:$F$34,1,D124)*INDEX('W Assumptions'!$D$22:$F$22,1,D124)</f>
        <v>0</v>
      </c>
      <c r="N124" s="81" t="n">
        <f aca="false">'W Site Costs'!$J$14*F124*INDEX('W Assumptions'!$D$35:$F$35,1,D124)*INDEX('W Assumptions'!$D$22:$F$22,1,D124)</f>
        <v>0</v>
      </c>
      <c r="O124" s="81" t="n">
        <f aca="false">L124*'W Site Costs'!$K$14</f>
        <v>0</v>
      </c>
      <c r="P124" s="81" t="n">
        <f aca="false">SUM('W Site Costs'!$L$14:$Q$14)*F124*INDEX('W Assumptions'!$D$35:$F$35,1,D124)*INDEX('W Assumptions'!$D$22:$F$22,1,D124)</f>
        <v>0</v>
      </c>
      <c r="Q124" s="81" t="n">
        <f aca="false">L124*'W Site Costs'!$R$14*INDEX('W Assumptions'!$D$17:$F$17,1,D124)</f>
        <v>0</v>
      </c>
      <c r="R124" s="112" t="n">
        <f aca="false">L124*'W Sites'!$M$14</f>
        <v>0</v>
      </c>
      <c r="S124" s="81" t="n">
        <f aca="false">SUM(M124:R124)</f>
        <v>0</v>
      </c>
      <c r="T124" s="81" t="n">
        <f aca="false">L124-S124</f>
        <v>0</v>
      </c>
      <c r="U124" s="81" t="n">
        <f aca="false">IF(C124='W Budget &amp; Owners'!$I$14,'W Budget &amp; Owners'!$F$14*'W Sites'!$G$14,0)</f>
        <v>0</v>
      </c>
      <c r="V124" s="81" t="n">
        <f aca="false">'W Sites'!$G$14*'W Budget &amp; Owners'!$E$14*INDEX('W Assumptions'!$D$27:$F$27,1,D124)*(IF(C124='W Budget &amp; Owners'!$I$14,'W Assumptions'!$D$65,0)+IF(C124=DATE(YEAR('W Sites'!$F$14),MONTH('W Sites'!$F$14),1),1-'W Assumptions'!$D$65,0))+'W Sites'!$G$14*'W Budget &amp; Owners'!$E$14*IF(C124=DATE(2027,9,1),'W Assumptions'!$D$67,IF(C124=DATE(2028,9,1),'W Assumptions'!$D$69,0))</f>
        <v>0</v>
      </c>
      <c r="W124" s="81" t="n">
        <f aca="false">IF(((YEAR(C124)-YEAR('W Sites'!$F$14))*12+MONTH(C124)-MONTH('W Sites'!$F$14))&lt;'W Budget &amp; Owners'!$H$14,'W Budget &amp; Owners'!$E$14/'W Budget &amp; Owners'!$H$14*F124,0)+IF(C124&gt;=DATE(2027,9,1),'W Budget &amp; Owners'!$E$14*'W Assumptions'!$D$67/'W Budget &amp; Owners'!$H$14*F124,0)+IF(C124&gt;=DATE(2028,9,1),'W Budget &amp; Owners'!$E$14*'W Assumptions'!$D$69/'W Budget &amp; Owners'!$H$14*F124,0)</f>
        <v>0</v>
      </c>
      <c r="X124" s="81" t="n">
        <f aca="false">IF(C124='W Budget &amp; Owners'!$I$14,'W Budget &amp; Owners'!$G$14*'W Sites'!$G$14,0)</f>
        <v>0</v>
      </c>
      <c r="Y124" s="112" t="n">
        <f aca="false">IF(SUM($G$116:$G$125)=0,0,'W Fees &amp; KPI'!$Q$17*G124/SUM($G$116:$G$125))</f>
        <v>0</v>
      </c>
      <c r="Z124" s="119" t="n">
        <f aca="false">IF(SUM($G$116:$G$125)=0,0,SUM('W Fees &amp; KPI'!$J$17,'W Fees &amp; KPI'!$M$17)*G124/SUM($G$116:$G$125))</f>
        <v>0</v>
      </c>
      <c r="AA124" s="117" t="n">
        <f aca="false">T124-U124-Z124-Y124</f>
        <v>0</v>
      </c>
      <c r="AB124" s="119" t="n">
        <f aca="false">IF('W Fees &amp; KPI'!$D$17=0,0,T124-U124-Z124)</f>
        <v>0</v>
      </c>
    </row>
    <row r="125" customFormat="false" ht="21" hidden="false" customHeight="true" outlineLevel="0" collapsed="false">
      <c r="C125" s="144" t="n">
        <f aca="false">46600</f>
        <v>46600</v>
      </c>
      <c r="D125" s="81" t="n">
        <f aca="false">1</f>
        <v>1</v>
      </c>
      <c r="E125" s="81" t="str">
        <f aca="false">'W Sites'!C15</f>
        <v>S10</v>
      </c>
      <c r="F125" s="145" t="n">
        <f aca="false">'W Sites'!$G$15*MAX(0,EOMONTH(C125,0)-MAX(C125,'W Sites'!$F$15)+1)/DAY(EOMONTH(C125,0))</f>
        <v>0</v>
      </c>
      <c r="G125" s="145" t="n">
        <f aca="false">'W Sites'!$G$15*MAX(0,EOMONTH(C125,0)-MAX(C125,'W Sites'!$F$15,'W Assumptions'!$D$58)+1)/DAY(EOMONTH(C125,0))</f>
        <v>0</v>
      </c>
      <c r="H125" s="81" t="n">
        <f aca="false">'W Sites'!$H$15*F125*'W Sites'!$I$15*IF(((YEAR(C125)-YEAR('W Sites'!$F$15))*12+MONTH(C125)-MONTH('W Sites'!$F$15))=0,'W Assumptions'!$D$62,IF(((YEAR(C125)-YEAR('W Sites'!$F$15))*12+MONTH(C125)-MONTH('W Sites'!$F$15))=1,'W Assumptions'!$D$63,1))*INDEX('W Assumptions'!$D$7:$F$7,1,D125)*INDEX('W Assumptions'!$D$32:$F$32,1,D125)*INDEX('W Assumptions'!$D$80:$D$91,MONTH(C125),1)/AVERAGE('W Assumptions'!$D$80:$D$91)</f>
        <v>0</v>
      </c>
      <c r="I125" s="81" t="n">
        <f aca="false">H125*'W Sites'!$J$15/(1+'W Assumptions'!$D$39)*INDEX('W Assumptions'!$D$12:$F$12,1,D125)*INDEX('W Assumptions'!$D$33:$F$33,1,D125)</f>
        <v>0</v>
      </c>
      <c r="J125" s="81" t="n">
        <f aca="false">H125*'W Sites'!$K$15/(1+'W Assumptions'!$D$39)*INDEX('W Assumptions'!$D$12:$F$12,1,D125)*INDEX('W Assumptions'!$D$33:$F$33,1,D125)</f>
        <v>0</v>
      </c>
      <c r="K125" s="81" t="n">
        <f aca="false">'W Sites'!$L$15*F125*IF(((YEAR(C125)-YEAR('W Sites'!$F$15))*12+MONTH(C125)-MONTH('W Sites'!$F$15))=0,'W Assumptions'!$D$62,IF(((YEAR(C125)-YEAR('W Sites'!$F$15))*12+MONTH(C125)-MONTH('W Sites'!$F$15))=1,'W Assumptions'!$D$63,1))*INDEX('W Assumptions'!$D$7:$F$7,1,D125)*INDEX('W Assumptions'!$D$32:$F$32,1,D125)</f>
        <v>0</v>
      </c>
      <c r="L125" s="81" t="n">
        <f aca="false">SUM(I125:K125)</f>
        <v>0</v>
      </c>
      <c r="M125" s="81" t="n">
        <f aca="false">'W Site Costs'!$I$15*F125*INDEX('W Assumptions'!$D$34:$F$34,1,D125)*INDEX('W Assumptions'!$D$22:$F$22,1,D125)</f>
        <v>0</v>
      </c>
      <c r="N125" s="81" t="n">
        <f aca="false">'W Site Costs'!$J$15*F125*INDEX('W Assumptions'!$D$35:$F$35,1,D125)*INDEX('W Assumptions'!$D$22:$F$22,1,D125)</f>
        <v>0</v>
      </c>
      <c r="O125" s="81" t="n">
        <f aca="false">L125*'W Site Costs'!$K$15</f>
        <v>0</v>
      </c>
      <c r="P125" s="81" t="n">
        <f aca="false">SUM('W Site Costs'!$L$15:$Q$15)*F125*INDEX('W Assumptions'!$D$35:$F$35,1,D125)*INDEX('W Assumptions'!$D$22:$F$22,1,D125)</f>
        <v>0</v>
      </c>
      <c r="Q125" s="81" t="n">
        <f aca="false">L125*'W Site Costs'!$R$15*INDEX('W Assumptions'!$D$17:$F$17,1,D125)</f>
        <v>0</v>
      </c>
      <c r="R125" s="112" t="n">
        <f aca="false">L125*'W Sites'!$M$15</f>
        <v>0</v>
      </c>
      <c r="S125" s="81" t="n">
        <f aca="false">SUM(M125:R125)</f>
        <v>0</v>
      </c>
      <c r="T125" s="81" t="n">
        <f aca="false">L125-S125</f>
        <v>0</v>
      </c>
      <c r="U125" s="81" t="n">
        <f aca="false">IF(C125='W Budget &amp; Owners'!$I$15,'W Budget &amp; Owners'!$F$15*'W Sites'!$G$15,0)</f>
        <v>0</v>
      </c>
      <c r="V125" s="81" t="n">
        <f aca="false">'W Sites'!$G$15*'W Budget &amp; Owners'!$E$15*INDEX('W Assumptions'!$D$27:$F$27,1,D125)*(IF(C125='W Budget &amp; Owners'!$I$15,'W Assumptions'!$D$65,0)+IF(C125=DATE(YEAR('W Sites'!$F$15),MONTH('W Sites'!$F$15),1),1-'W Assumptions'!$D$65,0))+'W Sites'!$G$15*'W Budget &amp; Owners'!$E$15*IF(C125=DATE(2027,9,1),'W Assumptions'!$D$67,IF(C125=DATE(2028,9,1),'W Assumptions'!$D$69,0))</f>
        <v>0</v>
      </c>
      <c r="W125" s="81" t="n">
        <f aca="false">IF(((YEAR(C125)-YEAR('W Sites'!$F$15))*12+MONTH(C125)-MONTH('W Sites'!$F$15))&lt;'W Budget &amp; Owners'!$H$15,'W Budget &amp; Owners'!$E$15/'W Budget &amp; Owners'!$H$15*F125,0)+IF(C125&gt;=DATE(2027,9,1),'W Budget &amp; Owners'!$E$15*'W Assumptions'!$D$67/'W Budget &amp; Owners'!$H$15*F125,0)+IF(C125&gt;=DATE(2028,9,1),'W Budget &amp; Owners'!$E$15*'W Assumptions'!$D$69/'W Budget &amp; Owners'!$H$15*F125,0)</f>
        <v>0</v>
      </c>
      <c r="X125" s="81" t="n">
        <f aca="false">IF(C125='W Budget &amp; Owners'!$I$15,'W Budget &amp; Owners'!$G$15*'W Sites'!$G$15,0)</f>
        <v>0</v>
      </c>
      <c r="Y125" s="112" t="n">
        <f aca="false">IF(SUM($G$116:$G$125)=0,0,'W Fees &amp; KPI'!$Q$17*G125/SUM($G$116:$G$125))</f>
        <v>0</v>
      </c>
      <c r="Z125" s="119" t="n">
        <f aca="false">IF(SUM($G$116:$G$125)=0,0,SUM('W Fees &amp; KPI'!$J$17,'W Fees &amp; KPI'!$M$17)*G125/SUM($G$116:$G$125))</f>
        <v>0</v>
      </c>
      <c r="AA125" s="117" t="n">
        <f aca="false">T125-U125-Z125-Y125</f>
        <v>0</v>
      </c>
      <c r="AB125" s="119" t="n">
        <f aca="false">IF('W Fees &amp; KPI'!$D$17=0,0,T125-U125-Z125)</f>
        <v>0</v>
      </c>
    </row>
    <row r="126" customFormat="false" ht="21" hidden="false" customHeight="true" outlineLevel="0" collapsed="false">
      <c r="C126" s="144" t="n">
        <f aca="false">46631</f>
        <v>46631</v>
      </c>
      <c r="D126" s="81" t="n">
        <f aca="false">2</f>
        <v>2</v>
      </c>
      <c r="E126" s="81" t="str">
        <f aca="false">'W Sites'!C6</f>
        <v>S01</v>
      </c>
      <c r="F126" s="145" t="n">
        <f aca="false">'W Sites'!$G$6*MAX(0,EOMONTH(C126,0)-MAX(C126,'W Sites'!$F$6)+1)/DAY(EOMONTH(C126,0))</f>
        <v>1</v>
      </c>
      <c r="G126" s="145" t="n">
        <f aca="false">'W Sites'!$G$6*MAX(0,EOMONTH(C126,0)-MAX(C126,'W Sites'!$F$6,'W Assumptions'!$D$58)+1)/DAY(EOMONTH(C126,0))</f>
        <v>1</v>
      </c>
      <c r="H126" s="81" t="n">
        <f aca="false">'W Sites'!$D$45*INDEX('W Sites'!$E$65:$E$76,MONTH(C126),1)/SUM('W Sites'!$E$65:$E$76)*F126*(1+'W Sites'!$D$56)^(D126-1)*INDEX('W Assumptions'!$D$7:$F$7,1,D126)</f>
        <v>3105.8</v>
      </c>
      <c r="I126" s="81" t="n">
        <f aca="false">H126*'W Sites'!$D$46/(1+'W Sites'!$D$54*'W Assumptions'!$D$39)*INDEX('W Assumptions'!$D$12:$F$12,1,D126)</f>
        <v>170819</v>
      </c>
      <c r="J126" s="81" t="n">
        <f aca="false">H126*SUM('W Sites'!$D$47:$D$49)/(1+'W Sites'!$D$54*'W Assumptions'!$D$39)*INDEX('W Assumptions'!$D$12:$F$12,1,D126)</f>
        <v>93174</v>
      </c>
      <c r="K126" s="81" t="n">
        <f aca="false">SUM('W Sites'!$D$50:$D$52)/12*F126*(1+'W Sites'!$D$56)^(D126-1)*INDEX('W Assumptions'!$D$7:$F$7,1,D126)*INDEX('W Assumptions'!$D$12:$F$12,1,D126)/(1+'W Sites'!$D$54*'W Assumptions'!$D$39)</f>
        <v>35333.3333333333</v>
      </c>
      <c r="L126" s="81" t="n">
        <f aca="false">SUM(I126:K126)</f>
        <v>299326.333333333</v>
      </c>
      <c r="M126" s="81" t="n">
        <f aca="false">('W Site Costs'!$I$6+INDEX('W Sites'!$F$65:$F$76,MONTH(C126),1)*'W Site Costs'!$V$6)*F126*(1+'W Sites'!$D$58)^(D126-1)*INDEX('W Assumptions'!$D$22:$F$22,1,D126)</f>
        <v>112840</v>
      </c>
      <c r="N126" s="81" t="n">
        <f aca="false">'W Site Costs'!$J$6*F126*INDEX('W Assumptions'!$D$35:$F$35,1,D126)*INDEX('W Assumptions'!$D$22:$F$22,1,D126)</f>
        <v>15600</v>
      </c>
      <c r="O126" s="81" t="n">
        <f aca="false">L126*'W Site Costs'!$K$6</f>
        <v>0</v>
      </c>
      <c r="P126" s="81" t="n">
        <f aca="false">(SUM('W Site Costs'!$L$6:$Q$6)+INDEX('W Sites'!$F$65:$F$76,MONTH(C126),1)*'W Site Costs'!$W$6)*F126*(1+'W Sites'!$D$58)^(D126-1)*INDEX('W Assumptions'!$D$22:$F$22,1,D126)</f>
        <v>76960</v>
      </c>
      <c r="Q126" s="81" t="n">
        <f aca="false">('W Site Costs'!$X$6+INDEX('W Sites'!$F$65:$F$76,MONTH(C126),1)*'W Site Costs'!$Y$6)*F126*(1+'W Sites'!$D$58)^(D126-1)*INDEX('W Assumptions'!$D$17:$F$17,1,D126)</f>
        <v>18720</v>
      </c>
      <c r="R126" s="112" t="n">
        <f aca="false">L126*'W Sites'!$M$6</f>
        <v>0</v>
      </c>
      <c r="S126" s="81" t="n">
        <f aca="false">SUM(M126:R126)</f>
        <v>224120</v>
      </c>
      <c r="T126" s="81" t="n">
        <f aca="false">L126-S126</f>
        <v>75206.3333333333</v>
      </c>
      <c r="U126" s="81" t="n">
        <f aca="false">IF(C126='W Budget &amp; Owners'!$I$6,'W Budget &amp; Owners'!$F$6*'W Sites'!$G$6,0)</f>
        <v>0</v>
      </c>
      <c r="V126" s="81" t="n">
        <f aca="false">'W Sites'!$G$6*'W Budget &amp; Owners'!$E$6*INDEX('W Assumptions'!$D$27:$F$27,1,D126)*(IF(C126='W Budget &amp; Owners'!$I$6,'W Assumptions'!$D$65,0)+IF(C126=DATE(YEAR('W Sites'!$F$6),MONTH('W Sites'!$F$6),1),1-'W Assumptions'!$D$65,0))+'W Sites'!$G$6*'W Budget &amp; Owners'!$E$6*IF(C126=DATE(2027,9,1),'W Assumptions'!$D$67,IF(C126=DATE(2028,9,1),'W Assumptions'!$D$69,0))</f>
        <v>7000</v>
      </c>
      <c r="W126" s="81" t="n">
        <f aca="false">IF(((YEAR(C126)-YEAR('W Sites'!$F$6))*12+MONTH(C126)-MONTH('W Sites'!$F$6))&lt;'W Budget &amp; Owners'!$H$6,'W Budget &amp; Owners'!$E$6/'W Budget &amp; Owners'!$H$6*F126,0)+IF(C126&gt;=DATE(2027,9,1),'W Budget &amp; Owners'!$E$6*'W Assumptions'!$D$67/'W Budget &amp; Owners'!$H$6*F126,0)+IF(C126&gt;=DATE(2028,9,1),'W Budget &amp; Owners'!$E$6*'W Assumptions'!$D$69/'W Budget &amp; Owners'!$H$6*F126,0)</f>
        <v>5950</v>
      </c>
      <c r="X126" s="81" t="n">
        <f aca="false">IF(C126='W Budget &amp; Owners'!$I$6,'W Budget &amp; Owners'!$G$6*'W Sites'!$G$6,0)</f>
        <v>0</v>
      </c>
      <c r="Y126" s="112" t="n">
        <f aca="false">IF(SUM($G$126:$G$135)=0,0,'W Fees &amp; KPI'!$Q$18*G126/SUM($G$126:$G$135))</f>
        <v>2724.29468115942</v>
      </c>
      <c r="Z126" s="119" t="n">
        <f aca="false">IF(SUM($G$126:$G$135)=0,0,SUM('W Fees &amp; KPI'!$J$18,'W Fees &amp; KPI'!$M$18)*G126/SUM($G$126:$G$135))</f>
        <v>4611.25</v>
      </c>
      <c r="AA126" s="117" t="n">
        <f aca="false">T126-U126-Z126-Y126</f>
        <v>67870.7886521739</v>
      </c>
      <c r="AB126" s="119" t="n">
        <f aca="false">IF('W Fees &amp; KPI'!$D$18=0,0,T126-U126-Z126)</f>
        <v>70595.0833333333</v>
      </c>
    </row>
    <row r="127" customFormat="false" ht="21" hidden="false" customHeight="true" outlineLevel="0" collapsed="false">
      <c r="C127" s="144" t="n">
        <f aca="false">46631</f>
        <v>46631</v>
      </c>
      <c r="D127" s="81" t="n">
        <f aca="false">2</f>
        <v>2</v>
      </c>
      <c r="E127" s="81" t="str">
        <f aca="false">'W Sites'!C7</f>
        <v>S02</v>
      </c>
      <c r="F127" s="145" t="n">
        <f aca="false">'W Sites'!$G$7*MAX(0,EOMONTH(C127,0)-MAX(C127,'W Sites'!$F$7)+1)/DAY(EOMONTH(C127,0))</f>
        <v>1</v>
      </c>
      <c r="G127" s="145" t="n">
        <f aca="false">'W Sites'!$G$7*MAX(0,EOMONTH(C127,0)-MAX(C127,'W Sites'!$F$7,'W Assumptions'!$D$58)+1)/DAY(EOMONTH(C127,0))</f>
        <v>1</v>
      </c>
      <c r="H127" s="81" t="n">
        <f aca="false">'W Sites'!$H$7*F127*'W Sites'!$I$7*IF(((YEAR(C127)-YEAR('W Sites'!$F$7))*12+MONTH(C127)-MONTH('W Sites'!$F$7))=0,'W Assumptions'!$D$62,IF(((YEAR(C127)-YEAR('W Sites'!$F$7))*12+MONTH(C127)-MONTH('W Sites'!$F$7))=1,'W Assumptions'!$D$63,1))*INDEX('W Assumptions'!$D$7:$F$7,1,D127)*INDEX('W Assumptions'!$D$32:$F$32,1,D127)*INDEX('W Assumptions'!$D$80:$D$91,MONTH(C127),1)/AVERAGE('W Assumptions'!$D$80:$D$91)</f>
        <v>2310</v>
      </c>
      <c r="I127" s="81" t="n">
        <f aca="false">H127*'W Sites'!$J$7/(1+'W Assumptions'!$D$39)*INDEX('W Assumptions'!$D$12:$F$12,1,D127)*INDEX('W Assumptions'!$D$33:$F$33,1,D127)</f>
        <v>72413.4782608696</v>
      </c>
      <c r="J127" s="81" t="n">
        <f aca="false">H127*'W Sites'!$K$7/(1+'W Assumptions'!$D$39)*INDEX('W Assumptions'!$D$12:$F$12,1,D127)*INDEX('W Assumptions'!$D$33:$F$33,1,D127)</f>
        <v>6206.86956521739</v>
      </c>
      <c r="K127" s="81" t="n">
        <f aca="false">'W Sites'!$L$7*F127*IF(((YEAR(C127)-YEAR('W Sites'!$F$7))*12+MONTH(C127)-MONTH('W Sites'!$F$7))=0,'W Assumptions'!$D$62,IF(((YEAR(C127)-YEAR('W Sites'!$F$7))*12+MONTH(C127)-MONTH('W Sites'!$F$7))=1,'W Assumptions'!$D$63,1))*INDEX('W Assumptions'!$D$7:$F$7,1,D127)*INDEX('W Assumptions'!$D$32:$F$32,1,D127)</f>
        <v>5500</v>
      </c>
      <c r="L127" s="81" t="n">
        <f aca="false">SUM(I127:K127)</f>
        <v>84120.347826087</v>
      </c>
      <c r="M127" s="81" t="n">
        <f aca="false">'W Site Costs'!$I$7*F127*INDEX('W Assumptions'!$D$34:$F$34,1,D127)*INDEX('W Assumptions'!$D$22:$F$22,1,D127)</f>
        <v>34072.5</v>
      </c>
      <c r="N127" s="81" t="n">
        <f aca="false">'W Site Costs'!$J$7*F127*INDEX('W Assumptions'!$D$35:$F$35,1,D127)*INDEX('W Assumptions'!$D$22:$F$22,1,D127)</f>
        <v>0</v>
      </c>
      <c r="O127" s="81" t="n">
        <f aca="false">L127*'W Site Costs'!$K$7</f>
        <v>12618.052173913</v>
      </c>
      <c r="P127" s="81" t="n">
        <f aca="false">SUM('W Site Costs'!$L$7:$Q$7)*F127*INDEX('W Assumptions'!$D$35:$F$35,1,D127)*INDEX('W Assumptions'!$D$22:$F$22,1,D127)</f>
        <v>12168</v>
      </c>
      <c r="Q127" s="81" t="n">
        <f aca="false">L127*'W Site Costs'!$R$7*INDEX('W Assumptions'!$D$17:$F$17,1,D127)</f>
        <v>5047.22086956522</v>
      </c>
      <c r="R127" s="112" t="n">
        <f aca="false">L127*'W Sites'!$M$7</f>
        <v>0</v>
      </c>
      <c r="S127" s="81" t="n">
        <f aca="false">SUM(M127:R127)</f>
        <v>63905.7730434783</v>
      </c>
      <c r="T127" s="81" t="n">
        <f aca="false">L127-S127</f>
        <v>20214.5747826087</v>
      </c>
      <c r="U127" s="81" t="n">
        <f aca="false">IF(C127='W Budget &amp; Owners'!$I$7,'W Budget &amp; Owners'!$F$7*'W Sites'!$G$7,0)</f>
        <v>0</v>
      </c>
      <c r="V127" s="81" t="n">
        <f aca="false">'W Sites'!$G$7*'W Budget &amp; Owners'!$E$7*INDEX('W Assumptions'!$D$27:$F$27,1,D127)*(IF(C127='W Budget &amp; Owners'!$I$7,'W Assumptions'!$D$65,0)+IF(C127=DATE(YEAR('W Sites'!$F$7),MONTH('W Sites'!$F$7),1),1-'W Assumptions'!$D$65,0))+'W Sites'!$G$7*'W Budget &amp; Owners'!$E$7*IF(C127=DATE(2027,9,1),'W Assumptions'!$D$67,IF(C127=DATE(2028,9,1),'W Assumptions'!$D$69,0))</f>
        <v>1600</v>
      </c>
      <c r="W127" s="81" t="n">
        <f aca="false">IF(((YEAR(C127)-YEAR('W Sites'!$F$7))*12+MONTH(C127)-MONTH('W Sites'!$F$7))&lt;'W Budget &amp; Owners'!$H$7,'W Budget &amp; Owners'!$E$7/'W Budget &amp; Owners'!$H$7*F127,0)+IF(C127&gt;=DATE(2027,9,1),'W Budget &amp; Owners'!$E$7*'W Assumptions'!$D$67/'W Budget &amp; Owners'!$H$7*F127,0)+IF(C127&gt;=DATE(2028,9,1),'W Budget &amp; Owners'!$E$7*'W Assumptions'!$D$69/'W Budget &amp; Owners'!$H$7*F127,0)</f>
        <v>1360</v>
      </c>
      <c r="X127" s="81" t="n">
        <f aca="false">IF(C127='W Budget &amp; Owners'!$I$7,'W Budget &amp; Owners'!$G$7*'W Sites'!$G$7,0)</f>
        <v>0</v>
      </c>
      <c r="Y127" s="112" t="n">
        <f aca="false">IF(SUM($G$126:$G$135)=0,0,'W Fees &amp; KPI'!$Q$18*G127/SUM($G$126:$G$135))</f>
        <v>2724.29468115942</v>
      </c>
      <c r="Z127" s="119" t="n">
        <f aca="false">IF(SUM($G$126:$G$135)=0,0,SUM('W Fees &amp; KPI'!$J$18,'W Fees &amp; KPI'!$M$18)*G127/SUM($G$126:$G$135))</f>
        <v>4611.25</v>
      </c>
      <c r="AA127" s="117" t="n">
        <f aca="false">T127-U127-Z127-Y127</f>
        <v>12879.0301014493</v>
      </c>
      <c r="AB127" s="119" t="n">
        <f aca="false">IF('W Fees &amp; KPI'!$D$18=0,0,T127-U127-Z127)</f>
        <v>15603.3247826087</v>
      </c>
    </row>
    <row r="128" customFormat="false" ht="21" hidden="false" customHeight="true" outlineLevel="0" collapsed="false">
      <c r="C128" s="144" t="n">
        <f aca="false">46631</f>
        <v>46631</v>
      </c>
      <c r="D128" s="81" t="n">
        <f aca="false">2</f>
        <v>2</v>
      </c>
      <c r="E128" s="81" t="str">
        <f aca="false">'W Sites'!C8</f>
        <v>S03</v>
      </c>
      <c r="F128" s="145" t="n">
        <f aca="false">'W Sites'!$G$8*MAX(0,EOMONTH(C128,0)-MAX(C128,'W Sites'!$F$8)+1)/DAY(EOMONTH(C128,0))</f>
        <v>1</v>
      </c>
      <c r="G128" s="145" t="n">
        <f aca="false">'W Sites'!$G$8*MAX(0,EOMONTH(C128,0)-MAX(C128,'W Sites'!$F$8,'W Assumptions'!$D$58)+1)/DAY(EOMONTH(C128,0))</f>
        <v>1</v>
      </c>
      <c r="H128" s="81" t="n">
        <f aca="false">'W Sites'!$H$8*F128*'W Sites'!$I$8*IF(((YEAR(C128)-YEAR('W Sites'!$F$8))*12+MONTH(C128)-MONTH('W Sites'!$F$8))=0,'W Assumptions'!$D$62,IF(((YEAR(C128)-YEAR('W Sites'!$F$8))*12+MONTH(C128)-MONTH('W Sites'!$F$8))=1,'W Assumptions'!$D$63,1))*INDEX('W Assumptions'!$D$7:$F$7,1,D128)*INDEX('W Assumptions'!$D$32:$F$32,1,D128)*INDEX('W Assumptions'!$D$80:$D$91,MONTH(C128),1)/AVERAGE('W Assumptions'!$D$80:$D$91)</f>
        <v>3119.17808219178</v>
      </c>
      <c r="I128" s="81" t="n">
        <f aca="false">H128*'W Sites'!$J$8/(1+'W Assumptions'!$D$39)*INDEX('W Assumptions'!$D$12:$F$12,1,D128)*INDEX('W Assumptions'!$D$33:$F$33,1,D128)</f>
        <v>181590.410958904</v>
      </c>
      <c r="J128" s="81" t="n">
        <f aca="false">H128*'W Sites'!$K$8/(1+'W Assumptions'!$D$39)*INDEX('W Assumptions'!$D$12:$F$12,1,D128)*INDEX('W Assumptions'!$D$33:$F$33,1,D128)</f>
        <v>22349.5890410959</v>
      </c>
      <c r="K128" s="81" t="n">
        <f aca="false">'W Sites'!$L$8*F128*IF(((YEAR(C128)-YEAR('W Sites'!$F$8))*12+MONTH(C128)-MONTH('W Sites'!$F$8))=0,'W Assumptions'!$D$62,IF(((YEAR(C128)-YEAR('W Sites'!$F$8))*12+MONTH(C128)-MONTH('W Sites'!$F$8))=1,'W Assumptions'!$D$63,1))*INDEX('W Assumptions'!$D$7:$F$7,1,D128)*INDEX('W Assumptions'!$D$32:$F$32,1,D128)</f>
        <v>22000</v>
      </c>
      <c r="L128" s="81" t="n">
        <f aca="false">SUM(I128:K128)</f>
        <v>225940</v>
      </c>
      <c r="M128" s="81" t="n">
        <f aca="false">'W Site Costs'!$I$8*F128*INDEX('W Assumptions'!$D$34:$F$34,1,D128)*INDEX('W Assumptions'!$D$22:$F$22,1,D128)</f>
        <v>50427.3</v>
      </c>
      <c r="N128" s="81" t="n">
        <f aca="false">'W Site Costs'!$J$8*F128*INDEX('W Assumptions'!$D$35:$F$35,1,D128)*INDEX('W Assumptions'!$D$22:$F$22,1,D128)</f>
        <v>36400</v>
      </c>
      <c r="O128" s="81" t="n">
        <f aca="false">L128*'W Site Costs'!$K$8</f>
        <v>0</v>
      </c>
      <c r="P128" s="81" t="n">
        <f aca="false">SUM('W Site Costs'!$L$8:$Q$8)*F128*INDEX('W Assumptions'!$D$35:$F$35,1,D128)*INDEX('W Assumptions'!$D$22:$F$22,1,D128)</f>
        <v>20280</v>
      </c>
      <c r="Q128" s="81" t="n">
        <f aca="false">L128*'W Site Costs'!$R$8*INDEX('W Assumptions'!$D$17:$F$17,1,D128)</f>
        <v>18075.2</v>
      </c>
      <c r="R128" s="112" t="n">
        <f aca="false">L128*'W Sites'!$M$8</f>
        <v>0</v>
      </c>
      <c r="S128" s="81" t="n">
        <f aca="false">SUM(M128:R128)</f>
        <v>125182.5</v>
      </c>
      <c r="T128" s="81" t="n">
        <f aca="false">L128-S128</f>
        <v>100757.5</v>
      </c>
      <c r="U128" s="81" t="n">
        <f aca="false">IF(C128='W Budget &amp; Owners'!$I$8,'W Budget &amp; Owners'!$F$8*'W Sites'!$G$8,0)</f>
        <v>0</v>
      </c>
      <c r="V128" s="81" t="n">
        <f aca="false">'W Sites'!$G$8*'W Budget &amp; Owners'!$E$8*INDEX('W Assumptions'!$D$27:$F$27,1,D128)*(IF(C128='W Budget &amp; Owners'!$I$8,'W Assumptions'!$D$65,0)+IF(C128=DATE(YEAR('W Sites'!$F$8),MONTH('W Sites'!$F$8),1),1-'W Assumptions'!$D$65,0))+'W Sites'!$G$8*'W Budget &amp; Owners'!$E$8*IF(C128=DATE(2027,9,1),'W Assumptions'!$D$67,IF(C128=DATE(2028,9,1),'W Assumptions'!$D$69,0))</f>
        <v>12000</v>
      </c>
      <c r="W128" s="81" t="n">
        <f aca="false">IF(((YEAR(C128)-YEAR('W Sites'!$F$8))*12+MONTH(C128)-MONTH('W Sites'!$F$8))&lt;'W Budget &amp; Owners'!$H$8,'W Budget &amp; Owners'!$E$8/'W Budget &amp; Owners'!$H$8*F128,0)+IF(C128&gt;=DATE(2027,9,1),'W Budget &amp; Owners'!$E$8*'W Assumptions'!$D$67/'W Budget &amp; Owners'!$H$8*F128,0)+IF(C128&gt;=DATE(2028,9,1),'W Budget &amp; Owners'!$E$8*'W Assumptions'!$D$69/'W Budget &amp; Owners'!$H$8*F128,0)</f>
        <v>10200</v>
      </c>
      <c r="X128" s="81" t="n">
        <f aca="false">IF(C128='W Budget &amp; Owners'!$I$8,'W Budget &amp; Owners'!$G$8*'W Sites'!$G$8,0)</f>
        <v>0</v>
      </c>
      <c r="Y128" s="112" t="n">
        <f aca="false">IF(SUM($G$126:$G$135)=0,0,'W Fees &amp; KPI'!$Q$18*G128/SUM($G$126:$G$135))</f>
        <v>2724.29468115942</v>
      </c>
      <c r="Z128" s="119" t="n">
        <f aca="false">IF(SUM($G$126:$G$135)=0,0,SUM('W Fees &amp; KPI'!$J$18,'W Fees &amp; KPI'!$M$18)*G128/SUM($G$126:$G$135))</f>
        <v>4611.25</v>
      </c>
      <c r="AA128" s="117" t="n">
        <f aca="false">T128-U128-Z128-Y128</f>
        <v>93421.9553188407</v>
      </c>
      <c r="AB128" s="119" t="n">
        <f aca="false">IF('W Fees &amp; KPI'!$D$18=0,0,T128-U128-Z128)</f>
        <v>96146.2500000001</v>
      </c>
    </row>
    <row r="129" customFormat="false" ht="21" hidden="false" customHeight="true" outlineLevel="0" collapsed="false">
      <c r="C129" s="144" t="n">
        <f aca="false">46631</f>
        <v>46631</v>
      </c>
      <c r="D129" s="81" t="n">
        <f aca="false">2</f>
        <v>2</v>
      </c>
      <c r="E129" s="81" t="str">
        <f aca="false">'W Sites'!C9</f>
        <v>S04</v>
      </c>
      <c r="F129" s="145" t="n">
        <f aca="false">'W Sites'!$G$9*MAX(0,EOMONTH(C129,0)-MAX(C129,'W Sites'!$F$9)+1)/DAY(EOMONTH(C129,0))</f>
        <v>1</v>
      </c>
      <c r="G129" s="145" t="n">
        <f aca="false">'W Sites'!$G$9*MAX(0,EOMONTH(C129,0)-MAX(C129,'W Sites'!$F$9,'W Assumptions'!$D$58)+1)/DAY(EOMONTH(C129,0))</f>
        <v>1</v>
      </c>
      <c r="H129" s="81" t="n">
        <f aca="false">'W Sites'!$H$9*F129*'W Sites'!$I$9*IF(((YEAR(C129)-YEAR('W Sites'!$F$9))*12+MONTH(C129)-MONTH('W Sites'!$F$9))=0,'W Assumptions'!$D$62,IF(((YEAR(C129)-YEAR('W Sites'!$F$9))*12+MONTH(C129)-MONTH('W Sites'!$F$9))=1,'W Assumptions'!$D$63,1))*INDEX('W Assumptions'!$D$7:$F$7,1,D129)*INDEX('W Assumptions'!$D$32:$F$32,1,D129)*INDEX('W Assumptions'!$D$80:$D$91,MONTH(C129),1)/AVERAGE('W Assumptions'!$D$80:$D$91)</f>
        <v>2196.18055555556</v>
      </c>
      <c r="I129" s="81" t="n">
        <f aca="false">H129*'W Sites'!$J$9/(1+'W Assumptions'!$D$39)*INDEX('W Assumptions'!$D$12:$F$12,1,D129)*INDEX('W Assumptions'!$D$33:$F$33,1,D129)</f>
        <v>127855.902777778</v>
      </c>
      <c r="J129" s="81" t="n">
        <f aca="false">H129*'W Sites'!$K$9/(1+'W Assumptions'!$D$39)*INDEX('W Assumptions'!$D$12:$F$12,1,D129)*INDEX('W Assumptions'!$D$33:$F$33,1,D129)</f>
        <v>13769.0972222222</v>
      </c>
      <c r="K129" s="81" t="n">
        <f aca="false">'W Sites'!$L$9*F129*IF(((YEAR(C129)-YEAR('W Sites'!$F$9))*12+MONTH(C129)-MONTH('W Sites'!$F$9))=0,'W Assumptions'!$D$62,IF(((YEAR(C129)-YEAR('W Sites'!$F$9))*12+MONTH(C129)-MONTH('W Sites'!$F$9))=1,'W Assumptions'!$D$63,1))*INDEX('W Assumptions'!$D$7:$F$7,1,D129)*INDEX('W Assumptions'!$D$32:$F$32,1,D129)</f>
        <v>16500</v>
      </c>
      <c r="L129" s="81" t="n">
        <f aca="false">SUM(I129:K129)</f>
        <v>158125</v>
      </c>
      <c r="M129" s="81" t="n">
        <f aca="false">'W Site Costs'!$I$9*F129*INDEX('W Assumptions'!$D$34:$F$34,1,D129)*INDEX('W Assumptions'!$D$22:$F$22,1,D129)</f>
        <v>39648</v>
      </c>
      <c r="N129" s="81" t="n">
        <f aca="false">'W Site Costs'!$J$9*F129*INDEX('W Assumptions'!$D$35:$F$35,1,D129)*INDEX('W Assumptions'!$D$22:$F$22,1,D129)</f>
        <v>22880</v>
      </c>
      <c r="O129" s="81" t="n">
        <f aca="false">L129*'W Site Costs'!$K$9</f>
        <v>0</v>
      </c>
      <c r="P129" s="81" t="n">
        <f aca="false">SUM('W Site Costs'!$L$9:$Q$9)*F129*INDEX('W Assumptions'!$D$35:$F$35,1,D129)*INDEX('W Assumptions'!$D$22:$F$22,1,D129)</f>
        <v>16120</v>
      </c>
      <c r="Q129" s="81" t="n">
        <f aca="false">L129*'W Site Costs'!$R$9*INDEX('W Assumptions'!$D$17:$F$17,1,D129)</f>
        <v>12650</v>
      </c>
      <c r="R129" s="112" t="n">
        <f aca="false">L129*'W Sites'!$M$9</f>
        <v>0</v>
      </c>
      <c r="S129" s="81" t="n">
        <f aca="false">SUM(M129:R129)</f>
        <v>91298</v>
      </c>
      <c r="T129" s="81" t="n">
        <f aca="false">L129-S129</f>
        <v>66827</v>
      </c>
      <c r="U129" s="81" t="n">
        <f aca="false">IF(C129='W Budget &amp; Owners'!$I$9,'W Budget &amp; Owners'!$F$9*'W Sites'!$G$9,0)</f>
        <v>0</v>
      </c>
      <c r="V129" s="81" t="n">
        <f aca="false">'W Sites'!$G$9*'W Budget &amp; Owners'!$E$9*INDEX('W Assumptions'!$D$27:$F$27,1,D129)*(IF(C129='W Budget &amp; Owners'!$I$9,'W Assumptions'!$D$65,0)+IF(C129=DATE(YEAR('W Sites'!$F$9),MONTH('W Sites'!$F$9),1),1-'W Assumptions'!$D$65,0))+'W Sites'!$G$9*'W Budget &amp; Owners'!$E$9*IF(C129=DATE(2027,9,1),'W Assumptions'!$D$67,IF(C129=DATE(2028,9,1),'W Assumptions'!$D$69,0))</f>
        <v>10000</v>
      </c>
      <c r="W129" s="81" t="n">
        <f aca="false">IF(((YEAR(C129)-YEAR('W Sites'!$F$9))*12+MONTH(C129)-MONTH('W Sites'!$F$9))&lt;'W Budget &amp; Owners'!$H$9,'W Budget &amp; Owners'!$E$9/'W Budget &amp; Owners'!$H$9*F129,0)+IF(C129&gt;=DATE(2027,9,1),'W Budget &amp; Owners'!$E$9*'W Assumptions'!$D$67/'W Budget &amp; Owners'!$H$9*F129,0)+IF(C129&gt;=DATE(2028,9,1),'W Budget &amp; Owners'!$E$9*'W Assumptions'!$D$69/'W Budget &amp; Owners'!$H$9*F129,0)</f>
        <v>8500</v>
      </c>
      <c r="X129" s="81" t="n">
        <f aca="false">IF(C129='W Budget &amp; Owners'!$I$9,'W Budget &amp; Owners'!$G$9*'W Sites'!$G$9,0)</f>
        <v>0</v>
      </c>
      <c r="Y129" s="112" t="n">
        <f aca="false">IF(SUM($G$126:$G$135)=0,0,'W Fees &amp; KPI'!$Q$18*G129/SUM($G$126:$G$135))</f>
        <v>2724.29468115942</v>
      </c>
      <c r="Z129" s="119" t="n">
        <f aca="false">IF(SUM($G$126:$G$135)=0,0,SUM('W Fees &amp; KPI'!$J$18,'W Fees &amp; KPI'!$M$18)*G129/SUM($G$126:$G$135))</f>
        <v>4611.25</v>
      </c>
      <c r="AA129" s="117" t="n">
        <f aca="false">T129-U129-Z129-Y129</f>
        <v>59491.4553188406</v>
      </c>
      <c r="AB129" s="119" t="n">
        <f aca="false">IF('W Fees &amp; KPI'!$D$18=0,0,T129-U129-Z129)</f>
        <v>62215.75</v>
      </c>
    </row>
    <row r="130" customFormat="false" ht="21" hidden="false" customHeight="true" outlineLevel="0" collapsed="false">
      <c r="C130" s="144" t="n">
        <f aca="false">46631</f>
        <v>46631</v>
      </c>
      <c r="D130" s="81" t="n">
        <f aca="false">2</f>
        <v>2</v>
      </c>
      <c r="E130" s="81" t="str">
        <f aca="false">'W Sites'!C10</f>
        <v>S05</v>
      </c>
      <c r="F130" s="145" t="n">
        <f aca="false">'W Sites'!$G$10*MAX(0,EOMONTH(C130,0)-MAX(C130,'W Sites'!$F$10)+1)/DAY(EOMONTH(C130,0))</f>
        <v>1</v>
      </c>
      <c r="G130" s="145" t="n">
        <f aca="false">'W Sites'!$G$10*MAX(0,EOMONTH(C130,0)-MAX(C130,'W Sites'!$F$10,'W Assumptions'!$D$58)+1)/DAY(EOMONTH(C130,0))</f>
        <v>1</v>
      </c>
      <c r="H130" s="81" t="n">
        <f aca="false">'W Sites'!$H$10*F130*'W Sites'!$I$10*IF(((YEAR(C130)-YEAR('W Sites'!$F$10))*12+MONTH(C130)-MONTH('W Sites'!$F$10))=0,'W Assumptions'!$D$62,IF(((YEAR(C130)-YEAR('W Sites'!$F$10))*12+MONTH(C130)-MONTH('W Sites'!$F$10))=1,'W Assumptions'!$D$63,1))*INDEX('W Assumptions'!$D$7:$F$7,1,D130)*INDEX('W Assumptions'!$D$32:$F$32,1,D130)*INDEX('W Assumptions'!$D$80:$D$91,MONTH(C130),1)/AVERAGE('W Assumptions'!$D$80:$D$91)</f>
        <v>2807.2602739726</v>
      </c>
      <c r="I130" s="81" t="n">
        <f aca="false">H130*'W Sites'!$J$10/(1+'W Assumptions'!$D$39)*INDEX('W Assumptions'!$D$12:$F$12,1,D130)*INDEX('W Assumptions'!$D$33:$F$33,1,D130)</f>
        <v>163431.369863014</v>
      </c>
      <c r="J130" s="81" t="n">
        <f aca="false">H130*'W Sites'!$K$10/(1+'W Assumptions'!$D$39)*INDEX('W Assumptions'!$D$12:$F$12,1,D130)*INDEX('W Assumptions'!$D$33:$F$33,1,D130)</f>
        <v>20114.6301369863</v>
      </c>
      <c r="K130" s="81" t="n">
        <f aca="false">'W Sites'!$L$10*F130*IF(((YEAR(C130)-YEAR('W Sites'!$F$10))*12+MONTH(C130)-MONTH('W Sites'!$F$10))=0,'W Assumptions'!$D$62,IF(((YEAR(C130)-YEAR('W Sites'!$F$10))*12+MONTH(C130)-MONTH('W Sites'!$F$10))=1,'W Assumptions'!$D$63,1))*INDEX('W Assumptions'!$D$7:$F$7,1,D130)*INDEX('W Assumptions'!$D$32:$F$32,1,D130)</f>
        <v>19800</v>
      </c>
      <c r="L130" s="81" t="n">
        <f aca="false">SUM(I130:K130)</f>
        <v>203346</v>
      </c>
      <c r="M130" s="81" t="n">
        <f aca="false">'W Site Costs'!$I$10*F130*INDEX('W Assumptions'!$D$34:$F$34,1,D130)*INDEX('W Assumptions'!$D$22:$F$22,1,D130)</f>
        <v>50427.3</v>
      </c>
      <c r="N130" s="81" t="n">
        <f aca="false">'W Site Costs'!$J$10*F130*INDEX('W Assumptions'!$D$35:$F$35,1,D130)*INDEX('W Assumptions'!$D$22:$F$22,1,D130)</f>
        <v>31200</v>
      </c>
      <c r="O130" s="81" t="n">
        <f aca="false">L130*'W Site Costs'!$K$10</f>
        <v>0</v>
      </c>
      <c r="P130" s="81" t="n">
        <f aca="false">SUM('W Site Costs'!$L$10:$Q$10)*F130*INDEX('W Assumptions'!$D$35:$F$35,1,D130)*INDEX('W Assumptions'!$D$22:$F$22,1,D130)</f>
        <v>19760</v>
      </c>
      <c r="Q130" s="81" t="n">
        <f aca="false">L130*'W Site Costs'!$R$10*INDEX('W Assumptions'!$D$17:$F$17,1,D130)</f>
        <v>16267.68</v>
      </c>
      <c r="R130" s="112" t="n">
        <f aca="false">L130*'W Sites'!$M$10</f>
        <v>0</v>
      </c>
      <c r="S130" s="81" t="n">
        <f aca="false">SUM(M130:R130)</f>
        <v>117654.98</v>
      </c>
      <c r="T130" s="81" t="n">
        <f aca="false">L130-S130</f>
        <v>85691.0200000001</v>
      </c>
      <c r="U130" s="81" t="n">
        <f aca="false">IF(C130='W Budget &amp; Owners'!$I$10,'W Budget &amp; Owners'!$F$10*'W Sites'!$G$10,0)</f>
        <v>0</v>
      </c>
      <c r="V130" s="81" t="n">
        <f aca="false">'W Sites'!$G$10*'W Budget &amp; Owners'!$E$10*INDEX('W Assumptions'!$D$27:$F$27,1,D130)*(IF(C130='W Budget &amp; Owners'!$I$10,'W Assumptions'!$D$65,0)+IF(C130=DATE(YEAR('W Sites'!$F$10),MONTH('W Sites'!$F$10),1),1-'W Assumptions'!$D$65,0))+'W Sites'!$G$10*'W Budget &amp; Owners'!$E$10*IF(C130=DATE(2027,9,1),'W Assumptions'!$D$67,IF(C130=DATE(2028,9,1),'W Assumptions'!$D$69,0))</f>
        <v>15000</v>
      </c>
      <c r="W130" s="81" t="n">
        <f aca="false">IF(((YEAR(C130)-YEAR('W Sites'!$F$10))*12+MONTH(C130)-MONTH('W Sites'!$F$10))&lt;'W Budget &amp; Owners'!$H$10,'W Budget &amp; Owners'!$E$10/'W Budget &amp; Owners'!$H$10*F130,0)+IF(C130&gt;=DATE(2027,9,1),'W Budget &amp; Owners'!$E$10*'W Assumptions'!$D$67/'W Budget &amp; Owners'!$H$10*F130,0)+IF(C130&gt;=DATE(2028,9,1),'W Budget &amp; Owners'!$E$10*'W Assumptions'!$D$69/'W Budget &amp; Owners'!$H$10*F130,0)</f>
        <v>12750</v>
      </c>
      <c r="X130" s="81" t="n">
        <f aca="false">IF(C130='W Budget &amp; Owners'!$I$10,'W Budget &amp; Owners'!$G$10*'W Sites'!$G$10,0)</f>
        <v>0</v>
      </c>
      <c r="Y130" s="112" t="n">
        <f aca="false">IF(SUM($G$126:$G$135)=0,0,'W Fees &amp; KPI'!$Q$18*G130/SUM($G$126:$G$135))</f>
        <v>2724.29468115942</v>
      </c>
      <c r="Z130" s="119" t="n">
        <f aca="false">IF(SUM($G$126:$G$135)=0,0,SUM('W Fees &amp; KPI'!$J$18,'W Fees &amp; KPI'!$M$18)*G130/SUM($G$126:$G$135))</f>
        <v>4611.25</v>
      </c>
      <c r="AA130" s="117" t="n">
        <f aca="false">T130-U130-Z130-Y130</f>
        <v>78355.4753188406</v>
      </c>
      <c r="AB130" s="119" t="n">
        <f aca="false">IF('W Fees &amp; KPI'!$D$18=0,0,T130-U130-Z130)</f>
        <v>81079.7700000001</v>
      </c>
    </row>
    <row r="131" customFormat="false" ht="21" hidden="false" customHeight="true" outlineLevel="0" collapsed="false">
      <c r="C131" s="144" t="n">
        <f aca="false">46631</f>
        <v>46631</v>
      </c>
      <c r="D131" s="81" t="n">
        <f aca="false">2</f>
        <v>2</v>
      </c>
      <c r="E131" s="81" t="str">
        <f aca="false">'W Sites'!C11</f>
        <v>S06</v>
      </c>
      <c r="F131" s="145" t="n">
        <f aca="false">'W Sites'!$G$11*MAX(0,EOMONTH(C131,0)-MAX(C131,'W Sites'!$F$11)+1)/DAY(EOMONTH(C131,0))</f>
        <v>1</v>
      </c>
      <c r="G131" s="145" t="n">
        <f aca="false">'W Sites'!$G$11*MAX(0,EOMONTH(C131,0)-MAX(C131,'W Sites'!$F$11,'W Assumptions'!$D$58)+1)/DAY(EOMONTH(C131,0))</f>
        <v>1</v>
      </c>
      <c r="H131" s="81" t="n">
        <f aca="false">'W Sites'!$H$11*F131*'W Sites'!$I$11*IF(((YEAR(C131)-YEAR('W Sites'!$F$11))*12+MONTH(C131)-MONTH('W Sites'!$F$11))=0,'W Assumptions'!$D$62,IF(((YEAR(C131)-YEAR('W Sites'!$F$11))*12+MONTH(C131)-MONTH('W Sites'!$F$11))=1,'W Assumptions'!$D$63,1))*INDEX('W Assumptions'!$D$7:$F$7,1,D131)*INDEX('W Assumptions'!$D$32:$F$32,1,D131)*INDEX('W Assumptions'!$D$80:$D$91,MONTH(C131),1)/AVERAGE('W Assumptions'!$D$80:$D$91)</f>
        <v>858</v>
      </c>
      <c r="I131" s="81" t="n">
        <f aca="false">H131*'W Sites'!$J$11/(1+'W Assumptions'!$D$39)*INDEX('W Assumptions'!$D$12:$F$12,1,D131)*INDEX('W Assumptions'!$D$33:$F$33,1,D131)</f>
        <v>46108.1739130435</v>
      </c>
      <c r="J131" s="81" t="n">
        <f aca="false">H131*'W Sites'!$K$11/(1+'W Assumptions'!$D$39)*INDEX('W Assumptions'!$D$12:$F$12,1,D131)*INDEX('W Assumptions'!$D$33:$F$33,1,D131)</f>
        <v>2305.40869565217</v>
      </c>
      <c r="K131" s="81" t="n">
        <f aca="false">'W Sites'!$L$11*F131*IF(((YEAR(C131)-YEAR('W Sites'!$F$11))*12+MONTH(C131)-MONTH('W Sites'!$F$11))=0,'W Assumptions'!$D$62,IF(((YEAR(C131)-YEAR('W Sites'!$F$11))*12+MONTH(C131)-MONTH('W Sites'!$F$11))=1,'W Assumptions'!$D$63,1))*INDEX('W Assumptions'!$D$7:$F$7,1,D131)*INDEX('W Assumptions'!$D$32:$F$32,1,D131)</f>
        <v>22000</v>
      </c>
      <c r="L131" s="81" t="n">
        <f aca="false">SUM(I131:K131)</f>
        <v>70413.5826086957</v>
      </c>
      <c r="M131" s="81" t="n">
        <f aca="false">'W Site Costs'!$I$11*F131*INDEX('W Assumptions'!$D$34:$F$34,1,D131)*INDEX('W Assumptions'!$D$22:$F$22,1,D131)</f>
        <v>25027.8</v>
      </c>
      <c r="N131" s="81" t="n">
        <f aca="false">'W Site Costs'!$J$11*F131*INDEX('W Assumptions'!$D$35:$F$35,1,D131)*INDEX('W Assumptions'!$D$22:$F$22,1,D131)</f>
        <v>5200</v>
      </c>
      <c r="O131" s="81" t="n">
        <f aca="false">L131*'W Site Costs'!$K$11</f>
        <v>0</v>
      </c>
      <c r="P131" s="81" t="n">
        <f aca="false">SUM('W Site Costs'!$L$11:$Q$11)*F131*INDEX('W Assumptions'!$D$35:$F$35,1,D131)*INDEX('W Assumptions'!$D$22:$F$22,1,D131)</f>
        <v>8320</v>
      </c>
      <c r="Q131" s="81" t="n">
        <f aca="false">L131*'W Site Costs'!$R$11*INDEX('W Assumptions'!$D$17:$F$17,1,D131)</f>
        <v>7041.35826086957</v>
      </c>
      <c r="R131" s="112" t="n">
        <f aca="false">L131*'W Sites'!$M$11</f>
        <v>0</v>
      </c>
      <c r="S131" s="81" t="n">
        <f aca="false">SUM(M131:R131)</f>
        <v>45589.1582608696</v>
      </c>
      <c r="T131" s="81" t="n">
        <f aca="false">L131-S131</f>
        <v>24824.4243478261</v>
      </c>
      <c r="U131" s="81" t="n">
        <f aca="false">IF(C131='W Budget &amp; Owners'!$I$11,'W Budget &amp; Owners'!$F$11*'W Sites'!$G$11,0)</f>
        <v>0</v>
      </c>
      <c r="V131" s="81" t="n">
        <f aca="false">'W Sites'!$G$11*'W Budget &amp; Owners'!$E$11*INDEX('W Assumptions'!$D$27:$F$27,1,D131)*(IF(C131='W Budget &amp; Owners'!$I$11,'W Assumptions'!$D$65,0)+IF(C131=DATE(YEAR('W Sites'!$F$11),MONTH('W Sites'!$F$11),1),1-'W Assumptions'!$D$65,0))+'W Sites'!$G$11*'W Budget &amp; Owners'!$E$11*IF(C131=DATE(2027,9,1),'W Assumptions'!$D$67,IF(C131=DATE(2028,9,1),'W Assumptions'!$D$69,0))</f>
        <v>3000</v>
      </c>
      <c r="W131" s="81" t="n">
        <f aca="false">IF(((YEAR(C131)-YEAR('W Sites'!$F$11))*12+MONTH(C131)-MONTH('W Sites'!$F$11))&lt;'W Budget &amp; Owners'!$H$11,'W Budget &amp; Owners'!$E$11/'W Budget &amp; Owners'!$H$11*F131,0)+IF(C131&gt;=DATE(2027,9,1),'W Budget &amp; Owners'!$E$11*'W Assumptions'!$D$67/'W Budget &amp; Owners'!$H$11*F131,0)+IF(C131&gt;=DATE(2028,9,1),'W Budget &amp; Owners'!$E$11*'W Assumptions'!$D$69/'W Budget &amp; Owners'!$H$11*F131,0)</f>
        <v>2550</v>
      </c>
      <c r="X131" s="81" t="n">
        <f aca="false">IF(C131='W Budget &amp; Owners'!$I$11,'W Budget &amp; Owners'!$G$11*'W Sites'!$G$11,0)</f>
        <v>0</v>
      </c>
      <c r="Y131" s="112" t="n">
        <f aca="false">IF(SUM($G$126:$G$135)=0,0,'W Fees &amp; KPI'!$Q$18*G131/SUM($G$126:$G$135))</f>
        <v>2724.29468115942</v>
      </c>
      <c r="Z131" s="119" t="n">
        <f aca="false">IF(SUM($G$126:$G$135)=0,0,SUM('W Fees &amp; KPI'!$J$18,'W Fees &amp; KPI'!$M$18)*G131/SUM($G$126:$G$135))</f>
        <v>4611.25</v>
      </c>
      <c r="AA131" s="117" t="n">
        <f aca="false">T131-U131-Z131-Y131</f>
        <v>17488.8796666667</v>
      </c>
      <c r="AB131" s="119" t="n">
        <f aca="false">IF('W Fees &amp; KPI'!$D$18=0,0,T131-U131-Z131)</f>
        <v>20213.1743478261</v>
      </c>
    </row>
    <row r="132" customFormat="false" ht="21" hidden="false" customHeight="true" outlineLevel="0" collapsed="false">
      <c r="C132" s="144" t="n">
        <f aca="false">46631</f>
        <v>46631</v>
      </c>
      <c r="D132" s="81" t="n">
        <f aca="false">2</f>
        <v>2</v>
      </c>
      <c r="E132" s="81" t="str">
        <f aca="false">'W Sites'!C12</f>
        <v>S07</v>
      </c>
      <c r="F132" s="145" t="n">
        <f aca="false">'W Sites'!$G$12*MAX(0,EOMONTH(C132,0)-MAX(C132,'W Sites'!$F$12)+1)/DAY(EOMONTH(C132,0))</f>
        <v>1</v>
      </c>
      <c r="G132" s="145" t="n">
        <f aca="false">'W Sites'!$G$12*MAX(0,EOMONTH(C132,0)-MAX(C132,'W Sites'!$F$12,'W Assumptions'!$D$58)+1)/DAY(EOMONTH(C132,0))</f>
        <v>1</v>
      </c>
      <c r="H132" s="81" t="n">
        <f aca="false">'W Sites'!$H$12*F132*'W Sites'!$I$12*IF(((YEAR(C132)-YEAR('W Sites'!$F$12))*12+MONTH(C132)-MONTH('W Sites'!$F$12))=0,'W Assumptions'!$D$62,IF(((YEAR(C132)-YEAR('W Sites'!$F$12))*12+MONTH(C132)-MONTH('W Sites'!$F$12))=1,'W Assumptions'!$D$63,1))*INDEX('W Assumptions'!$D$7:$F$7,1,D132)*INDEX('W Assumptions'!$D$32:$F$32,1,D132)*INDEX('W Assumptions'!$D$80:$D$91,MONTH(C132),1)/AVERAGE('W Assumptions'!$D$80:$D$91)</f>
        <v>1001</v>
      </c>
      <c r="I132" s="81" t="n">
        <f aca="false">H132*'W Sites'!$J$12/(1+'W Assumptions'!$D$39)*INDEX('W Assumptions'!$D$12:$F$12,1,D132)*INDEX('W Assumptions'!$D$33:$F$33,1,D132)</f>
        <v>53792.8695652174</v>
      </c>
      <c r="J132" s="81" t="n">
        <f aca="false">H132*'W Sites'!$K$12/(1+'W Assumptions'!$D$39)*INDEX('W Assumptions'!$D$12:$F$12,1,D132)*INDEX('W Assumptions'!$D$33:$F$33,1,D132)</f>
        <v>2689.64347826087</v>
      </c>
      <c r="K132" s="81" t="n">
        <f aca="false">'W Sites'!$L$12*F132*IF(((YEAR(C132)-YEAR('W Sites'!$F$12))*12+MONTH(C132)-MONTH('W Sites'!$F$12))=0,'W Assumptions'!$D$62,IF(((YEAR(C132)-YEAR('W Sites'!$F$12))*12+MONTH(C132)-MONTH('W Sites'!$F$12))=1,'W Assumptions'!$D$63,1))*INDEX('W Assumptions'!$D$7:$F$7,1,D132)*INDEX('W Assumptions'!$D$32:$F$32,1,D132)</f>
        <v>19800</v>
      </c>
      <c r="L132" s="81" t="n">
        <f aca="false">SUM(I132:K132)</f>
        <v>76282.5130434783</v>
      </c>
      <c r="M132" s="81" t="n">
        <f aca="false">'W Site Costs'!$I$12*F132*INDEX('W Assumptions'!$D$34:$F$34,1,D132)*INDEX('W Assumptions'!$D$22:$F$22,1,D132)</f>
        <v>25027.8</v>
      </c>
      <c r="N132" s="81" t="n">
        <f aca="false">'W Site Costs'!$J$12*F132*INDEX('W Assumptions'!$D$35:$F$35,1,D132)*INDEX('W Assumptions'!$D$22:$F$22,1,D132)</f>
        <v>8320</v>
      </c>
      <c r="O132" s="81" t="n">
        <f aca="false">L132*'W Site Costs'!$K$12</f>
        <v>0</v>
      </c>
      <c r="P132" s="81" t="n">
        <f aca="false">SUM('W Site Costs'!$L$12:$Q$12)*F132*INDEX('W Assumptions'!$D$35:$F$35,1,D132)*INDEX('W Assumptions'!$D$22:$F$22,1,D132)</f>
        <v>8840</v>
      </c>
      <c r="Q132" s="81" t="n">
        <f aca="false">L132*'W Site Costs'!$R$12*INDEX('W Assumptions'!$D$17:$F$17,1,D132)</f>
        <v>7628.25130434783</v>
      </c>
      <c r="R132" s="112" t="n">
        <f aca="false">L132*'W Sites'!$M$12</f>
        <v>0</v>
      </c>
      <c r="S132" s="81" t="n">
        <f aca="false">SUM(M132:R132)</f>
        <v>49816.0513043478</v>
      </c>
      <c r="T132" s="81" t="n">
        <f aca="false">L132-S132</f>
        <v>26466.4617391305</v>
      </c>
      <c r="U132" s="81" t="n">
        <f aca="false">IF(C132='W Budget &amp; Owners'!$I$12,'W Budget &amp; Owners'!$F$12*'W Sites'!$G$12,0)</f>
        <v>0</v>
      </c>
      <c r="V132" s="81" t="n">
        <f aca="false">'W Sites'!$G$12*'W Budget &amp; Owners'!$E$12*INDEX('W Assumptions'!$D$27:$F$27,1,D132)*(IF(C132='W Budget &amp; Owners'!$I$12,'W Assumptions'!$D$65,0)+IF(C132=DATE(YEAR('W Sites'!$F$12),MONTH('W Sites'!$F$12),1),1-'W Assumptions'!$D$65,0))+'W Sites'!$G$12*'W Budget &amp; Owners'!$E$12*IF(C132=DATE(2027,9,1),'W Assumptions'!$D$67,IF(C132=DATE(2028,9,1),'W Assumptions'!$D$69,0))</f>
        <v>9000</v>
      </c>
      <c r="W132" s="81" t="n">
        <f aca="false">IF(((YEAR(C132)-YEAR('W Sites'!$F$12))*12+MONTH(C132)-MONTH('W Sites'!$F$12))&lt;'W Budget &amp; Owners'!$H$12,'W Budget &amp; Owners'!$E$12/'W Budget &amp; Owners'!$H$12*F132,0)+IF(C132&gt;=DATE(2027,9,1),'W Budget &amp; Owners'!$E$12*'W Assumptions'!$D$67/'W Budget &amp; Owners'!$H$12*F132,0)+IF(C132&gt;=DATE(2028,9,1),'W Budget &amp; Owners'!$E$12*'W Assumptions'!$D$69/'W Budget &amp; Owners'!$H$12*F132,0)</f>
        <v>7650</v>
      </c>
      <c r="X132" s="81" t="n">
        <f aca="false">IF(C132='W Budget &amp; Owners'!$I$12,'W Budget &amp; Owners'!$G$12*'W Sites'!$G$12,0)</f>
        <v>0</v>
      </c>
      <c r="Y132" s="112" t="n">
        <f aca="false">IF(SUM($G$126:$G$135)=0,0,'W Fees &amp; KPI'!$Q$18*G132/SUM($G$126:$G$135))</f>
        <v>2724.29468115942</v>
      </c>
      <c r="Z132" s="119" t="n">
        <f aca="false">IF(SUM($G$126:$G$135)=0,0,SUM('W Fees &amp; KPI'!$J$18,'W Fees &amp; KPI'!$M$18)*G132/SUM($G$126:$G$135))</f>
        <v>4611.25</v>
      </c>
      <c r="AA132" s="117" t="n">
        <f aca="false">T132-U132-Z132-Y132</f>
        <v>19130.917057971</v>
      </c>
      <c r="AB132" s="119" t="n">
        <f aca="false">IF('W Fees &amp; KPI'!$D$18=0,0,T132-U132-Z132)</f>
        <v>21855.2117391305</v>
      </c>
    </row>
    <row r="133" customFormat="false" ht="21" hidden="false" customHeight="true" outlineLevel="0" collapsed="false">
      <c r="C133" s="144" t="n">
        <f aca="false">46631</f>
        <v>46631</v>
      </c>
      <c r="D133" s="81" t="n">
        <f aca="false">2</f>
        <v>2</v>
      </c>
      <c r="E133" s="81" t="str">
        <f aca="false">'W Sites'!C13</f>
        <v>S08</v>
      </c>
      <c r="F133" s="145" t="n">
        <f aca="false">'W Sites'!$G$13*MAX(0,EOMONTH(C133,0)-MAX(C133,'W Sites'!$F$13)+1)/DAY(EOMONTH(C133,0))</f>
        <v>1</v>
      </c>
      <c r="G133" s="145" t="n">
        <f aca="false">'W Sites'!$G$13*MAX(0,EOMONTH(C133,0)-MAX(C133,'W Sites'!$F$13,'W Assumptions'!$D$58)+1)/DAY(EOMONTH(C133,0))</f>
        <v>1</v>
      </c>
      <c r="H133" s="81" t="n">
        <f aca="false">'W Sites'!$H$13*F133*'W Sites'!$I$13*IF(((YEAR(C133)-YEAR('W Sites'!$F$13))*12+MONTH(C133)-MONTH('W Sites'!$F$13))=0,'W Assumptions'!$D$62,IF(((YEAR(C133)-YEAR('W Sites'!$F$13))*12+MONTH(C133)-MONTH('W Sites'!$F$13))=1,'W Assumptions'!$D$63,1))*INDEX('W Assumptions'!$D$7:$F$7,1,D133)*INDEX('W Assumptions'!$D$32:$F$32,1,D133)*INDEX('W Assumptions'!$D$80:$D$91,MONTH(C133),1)/AVERAGE('W Assumptions'!$D$80:$D$91)</f>
        <v>4290</v>
      </c>
      <c r="I133" s="81" t="n">
        <f aca="false">H133*'W Sites'!$J$13/(1+'W Assumptions'!$D$39)*INDEX('W Assumptions'!$D$12:$F$12,1,D133)*INDEX('W Assumptions'!$D$33:$F$33,1,D133)</f>
        <v>153693.913043478</v>
      </c>
      <c r="J133" s="81" t="n">
        <f aca="false">H133*'W Sites'!$K$13/(1+'W Assumptions'!$D$39)*INDEX('W Assumptions'!$D$12:$F$12,1,D133)*INDEX('W Assumptions'!$D$33:$F$33,1,D133)</f>
        <v>19211.7391304348</v>
      </c>
      <c r="K133" s="81" t="n">
        <f aca="false">'W Sites'!$L$13*F133*IF(((YEAR(C133)-YEAR('W Sites'!$F$13))*12+MONTH(C133)-MONTH('W Sites'!$F$13))=0,'W Assumptions'!$D$62,IF(((YEAR(C133)-YEAR('W Sites'!$F$13))*12+MONTH(C133)-MONTH('W Sites'!$F$13))=1,'W Assumptions'!$D$63,1))*INDEX('W Assumptions'!$D$7:$F$7,1,D133)*INDEX('W Assumptions'!$D$32:$F$32,1,D133)</f>
        <v>16500</v>
      </c>
      <c r="L133" s="81" t="n">
        <f aca="false">SUM(I133:K133)</f>
        <v>189405.652173913</v>
      </c>
      <c r="M133" s="81" t="n">
        <f aca="false">'W Site Costs'!$I$13*F133*INDEX('W Assumptions'!$D$34:$F$34,1,D133)*INDEX('W Assumptions'!$D$22:$F$22,1,D133)</f>
        <v>56002.8</v>
      </c>
      <c r="N133" s="81" t="n">
        <f aca="false">'W Site Costs'!$J$13*F133*INDEX('W Assumptions'!$D$35:$F$35,1,D133)*INDEX('W Assumptions'!$D$22:$F$22,1,D133)</f>
        <v>0</v>
      </c>
      <c r="O133" s="81" t="n">
        <f aca="false">L133*'W Site Costs'!$K$13</f>
        <v>18940.5652173913</v>
      </c>
      <c r="P133" s="81" t="n">
        <f aca="false">SUM('W Site Costs'!$L$13:$Q$13)*F133*INDEX('W Assumptions'!$D$35:$F$35,1,D133)*INDEX('W Assumptions'!$D$22:$F$22,1,D133)</f>
        <v>26520</v>
      </c>
      <c r="Q133" s="81" t="n">
        <f aca="false">L133*'W Site Costs'!$R$13*INDEX('W Assumptions'!$D$17:$F$17,1,D133)</f>
        <v>15152.452173913</v>
      </c>
      <c r="R133" s="112" t="n">
        <f aca="false">L133*'W Sites'!$M$13</f>
        <v>0</v>
      </c>
      <c r="S133" s="81" t="n">
        <f aca="false">SUM(M133:R133)</f>
        <v>116615.817391304</v>
      </c>
      <c r="T133" s="81" t="n">
        <f aca="false">L133-S133</f>
        <v>72789.8347826087</v>
      </c>
      <c r="U133" s="81" t="n">
        <f aca="false">IF(C133='W Budget &amp; Owners'!$I$13,'W Budget &amp; Owners'!$F$13*'W Sites'!$G$13,0)</f>
        <v>0</v>
      </c>
      <c r="V133" s="81" t="n">
        <f aca="false">'W Sites'!$G$13*'W Budget &amp; Owners'!$E$13*INDEX('W Assumptions'!$D$27:$F$27,1,D133)*(IF(C133='W Budget &amp; Owners'!$I$13,'W Assumptions'!$D$65,0)+IF(C133=DATE(YEAR('W Sites'!$F$13),MONTH('W Sites'!$F$13),1),1-'W Assumptions'!$D$65,0))+'W Sites'!$G$13*'W Budget &amp; Owners'!$E$13*IF(C133=DATE(2027,9,1),'W Assumptions'!$D$67,IF(C133=DATE(2028,9,1),'W Assumptions'!$D$69,0))</f>
        <v>24000</v>
      </c>
      <c r="W133" s="81" t="n">
        <f aca="false">IF(((YEAR(C133)-YEAR('W Sites'!$F$13))*12+MONTH(C133)-MONTH('W Sites'!$F$13))&lt;'W Budget &amp; Owners'!$H$13,'W Budget &amp; Owners'!$E$13/'W Budget &amp; Owners'!$H$13*F133,0)+IF(C133&gt;=DATE(2027,9,1),'W Budget &amp; Owners'!$E$13*'W Assumptions'!$D$67/'W Budget &amp; Owners'!$H$13*F133,0)+IF(C133&gt;=DATE(2028,9,1),'W Budget &amp; Owners'!$E$13*'W Assumptions'!$D$69/'W Budget &amp; Owners'!$H$13*F133,0)</f>
        <v>20400</v>
      </c>
      <c r="X133" s="81" t="n">
        <f aca="false">IF(C133='W Budget &amp; Owners'!$I$13,'W Budget &amp; Owners'!$G$13*'W Sites'!$G$13,0)</f>
        <v>0</v>
      </c>
      <c r="Y133" s="112" t="n">
        <f aca="false">IF(SUM($G$126:$G$135)=0,0,'W Fees &amp; KPI'!$Q$18*G133/SUM($G$126:$G$135))</f>
        <v>2724.29468115942</v>
      </c>
      <c r="Z133" s="119" t="n">
        <f aca="false">IF(SUM($G$126:$G$135)=0,0,SUM('W Fees &amp; KPI'!$J$18,'W Fees &amp; KPI'!$M$18)*G133/SUM($G$126:$G$135))</f>
        <v>4611.25</v>
      </c>
      <c r="AA133" s="117" t="n">
        <f aca="false">T133-U133-Z133-Y133</f>
        <v>65454.2901014493</v>
      </c>
      <c r="AB133" s="119" t="n">
        <f aca="false">IF('W Fees &amp; KPI'!$D$18=0,0,T133-U133-Z133)</f>
        <v>68178.5847826087</v>
      </c>
    </row>
    <row r="134" customFormat="false" ht="21" hidden="false" customHeight="true" outlineLevel="0" collapsed="false">
      <c r="C134" s="144" t="n">
        <f aca="false">46631</f>
        <v>46631</v>
      </c>
      <c r="D134" s="81" t="n">
        <f aca="false">2</f>
        <v>2</v>
      </c>
      <c r="E134" s="81" t="str">
        <f aca="false">'W Sites'!C14</f>
        <v>S09</v>
      </c>
      <c r="F134" s="145" t="n">
        <f aca="false">'W Sites'!$G$14*MAX(0,EOMONTH(C134,0)-MAX(C134,'W Sites'!$F$14)+1)/DAY(EOMONTH(C134,0))</f>
        <v>0</v>
      </c>
      <c r="G134" s="145" t="n">
        <f aca="false">'W Sites'!$G$14*MAX(0,EOMONTH(C134,0)-MAX(C134,'W Sites'!$F$14,'W Assumptions'!$D$58)+1)/DAY(EOMONTH(C134,0))</f>
        <v>0</v>
      </c>
      <c r="H134" s="81" t="n">
        <f aca="false">'W Sites'!$H$14*F134*'W Sites'!$I$14*IF(((YEAR(C134)-YEAR('W Sites'!$F$14))*12+MONTH(C134)-MONTH('W Sites'!$F$14))=0,'W Assumptions'!$D$62,IF(((YEAR(C134)-YEAR('W Sites'!$F$14))*12+MONTH(C134)-MONTH('W Sites'!$F$14))=1,'W Assumptions'!$D$63,1))*INDEX('W Assumptions'!$D$7:$F$7,1,D134)*INDEX('W Assumptions'!$D$32:$F$32,1,D134)*INDEX('W Assumptions'!$D$80:$D$91,MONTH(C134),1)/AVERAGE('W Assumptions'!$D$80:$D$91)</f>
        <v>0</v>
      </c>
      <c r="I134" s="81" t="n">
        <f aca="false">H134*'W Sites'!$J$14/(1+'W Assumptions'!$D$39)*INDEX('W Assumptions'!$D$12:$F$12,1,D134)*INDEX('W Assumptions'!$D$33:$F$33,1,D134)</f>
        <v>0</v>
      </c>
      <c r="J134" s="81" t="n">
        <f aca="false">H134*'W Sites'!$K$14/(1+'W Assumptions'!$D$39)*INDEX('W Assumptions'!$D$12:$F$12,1,D134)*INDEX('W Assumptions'!$D$33:$F$33,1,D134)</f>
        <v>0</v>
      </c>
      <c r="K134" s="81" t="n">
        <f aca="false">'W Sites'!$L$14*F134*IF(((YEAR(C134)-YEAR('W Sites'!$F$14))*12+MONTH(C134)-MONTH('W Sites'!$F$14))=0,'W Assumptions'!$D$62,IF(((YEAR(C134)-YEAR('W Sites'!$F$14))*12+MONTH(C134)-MONTH('W Sites'!$F$14))=1,'W Assumptions'!$D$63,1))*INDEX('W Assumptions'!$D$7:$F$7,1,D134)*INDEX('W Assumptions'!$D$32:$F$32,1,D134)</f>
        <v>0</v>
      </c>
      <c r="L134" s="81" t="n">
        <f aca="false">SUM(I134:K134)</f>
        <v>0</v>
      </c>
      <c r="M134" s="81" t="n">
        <f aca="false">'W Site Costs'!$I$14*F134*INDEX('W Assumptions'!$D$34:$F$34,1,D134)*INDEX('W Assumptions'!$D$22:$F$22,1,D134)</f>
        <v>0</v>
      </c>
      <c r="N134" s="81" t="n">
        <f aca="false">'W Site Costs'!$J$14*F134*INDEX('W Assumptions'!$D$35:$F$35,1,D134)*INDEX('W Assumptions'!$D$22:$F$22,1,D134)</f>
        <v>0</v>
      </c>
      <c r="O134" s="81" t="n">
        <f aca="false">L134*'W Site Costs'!$K$14</f>
        <v>0</v>
      </c>
      <c r="P134" s="81" t="n">
        <f aca="false">SUM('W Site Costs'!$L$14:$Q$14)*F134*INDEX('W Assumptions'!$D$35:$F$35,1,D134)*INDEX('W Assumptions'!$D$22:$F$22,1,D134)</f>
        <v>0</v>
      </c>
      <c r="Q134" s="81" t="n">
        <f aca="false">L134*'W Site Costs'!$R$14*INDEX('W Assumptions'!$D$17:$F$17,1,D134)</f>
        <v>0</v>
      </c>
      <c r="R134" s="112" t="n">
        <f aca="false">L134*'W Sites'!$M$14</f>
        <v>0</v>
      </c>
      <c r="S134" s="81" t="n">
        <f aca="false">SUM(M134:R134)</f>
        <v>0</v>
      </c>
      <c r="T134" s="81" t="n">
        <f aca="false">L134-S134</f>
        <v>0</v>
      </c>
      <c r="U134" s="81" t="n">
        <f aca="false">IF(C134='W Budget &amp; Owners'!$I$14,'W Budget &amp; Owners'!$F$14*'W Sites'!$G$14,0)</f>
        <v>0</v>
      </c>
      <c r="V134" s="81" t="n">
        <f aca="false">'W Sites'!$G$14*'W Budget &amp; Owners'!$E$14*INDEX('W Assumptions'!$D$27:$F$27,1,D134)*(IF(C134='W Budget &amp; Owners'!$I$14,'W Assumptions'!$D$65,0)+IF(C134=DATE(YEAR('W Sites'!$F$14),MONTH('W Sites'!$F$14),1),1-'W Assumptions'!$D$65,0))+'W Sites'!$G$14*'W Budget &amp; Owners'!$E$14*IF(C134=DATE(2027,9,1),'W Assumptions'!$D$67,IF(C134=DATE(2028,9,1),'W Assumptions'!$D$69,0))</f>
        <v>0</v>
      </c>
      <c r="W134" s="81" t="n">
        <f aca="false">IF(((YEAR(C134)-YEAR('W Sites'!$F$14))*12+MONTH(C134)-MONTH('W Sites'!$F$14))&lt;'W Budget &amp; Owners'!$H$14,'W Budget &amp; Owners'!$E$14/'W Budget &amp; Owners'!$H$14*F134,0)+IF(C134&gt;=DATE(2027,9,1),'W Budget &amp; Owners'!$E$14*'W Assumptions'!$D$67/'W Budget &amp; Owners'!$H$14*F134,0)+IF(C134&gt;=DATE(2028,9,1),'W Budget &amp; Owners'!$E$14*'W Assumptions'!$D$69/'W Budget &amp; Owners'!$H$14*F134,0)</f>
        <v>0</v>
      </c>
      <c r="X134" s="81" t="n">
        <f aca="false">IF(C134='W Budget &amp; Owners'!$I$14,'W Budget &amp; Owners'!$G$14*'W Sites'!$G$14,0)</f>
        <v>0</v>
      </c>
      <c r="Y134" s="112" t="n">
        <f aca="false">IF(SUM($G$126:$G$135)=0,0,'W Fees &amp; KPI'!$Q$18*G134/SUM($G$126:$G$135))</f>
        <v>0</v>
      </c>
      <c r="Z134" s="119" t="n">
        <f aca="false">IF(SUM($G$126:$G$135)=0,0,SUM('W Fees &amp; KPI'!$J$18,'W Fees &amp; KPI'!$M$18)*G134/SUM($G$126:$G$135))</f>
        <v>0</v>
      </c>
      <c r="AA134" s="117" t="n">
        <f aca="false">T134-U134-Z134-Y134</f>
        <v>0</v>
      </c>
      <c r="AB134" s="119" t="n">
        <f aca="false">IF('W Fees &amp; KPI'!$D$18=0,0,T134-U134-Z134)</f>
        <v>0</v>
      </c>
    </row>
    <row r="135" customFormat="false" ht="21" hidden="false" customHeight="true" outlineLevel="0" collapsed="false">
      <c r="C135" s="144" t="n">
        <f aca="false">46631</f>
        <v>46631</v>
      </c>
      <c r="D135" s="81" t="n">
        <f aca="false">2</f>
        <v>2</v>
      </c>
      <c r="E135" s="81" t="str">
        <f aca="false">'W Sites'!C15</f>
        <v>S10</v>
      </c>
      <c r="F135" s="145" t="n">
        <f aca="false">'W Sites'!$G$15*MAX(0,EOMONTH(C135,0)-MAX(C135,'W Sites'!$F$15)+1)/DAY(EOMONTH(C135,0))</f>
        <v>0</v>
      </c>
      <c r="G135" s="145" t="n">
        <f aca="false">'W Sites'!$G$15*MAX(0,EOMONTH(C135,0)-MAX(C135,'W Sites'!$F$15,'W Assumptions'!$D$58)+1)/DAY(EOMONTH(C135,0))</f>
        <v>0</v>
      </c>
      <c r="H135" s="81" t="n">
        <f aca="false">'W Sites'!$H$15*F135*'W Sites'!$I$15*IF(((YEAR(C135)-YEAR('W Sites'!$F$15))*12+MONTH(C135)-MONTH('W Sites'!$F$15))=0,'W Assumptions'!$D$62,IF(((YEAR(C135)-YEAR('W Sites'!$F$15))*12+MONTH(C135)-MONTH('W Sites'!$F$15))=1,'W Assumptions'!$D$63,1))*INDEX('W Assumptions'!$D$7:$F$7,1,D135)*INDEX('W Assumptions'!$D$32:$F$32,1,D135)*INDEX('W Assumptions'!$D$80:$D$91,MONTH(C135),1)/AVERAGE('W Assumptions'!$D$80:$D$91)</f>
        <v>0</v>
      </c>
      <c r="I135" s="81" t="n">
        <f aca="false">H135*'W Sites'!$J$15/(1+'W Assumptions'!$D$39)*INDEX('W Assumptions'!$D$12:$F$12,1,D135)*INDEX('W Assumptions'!$D$33:$F$33,1,D135)</f>
        <v>0</v>
      </c>
      <c r="J135" s="81" t="n">
        <f aca="false">H135*'W Sites'!$K$15/(1+'W Assumptions'!$D$39)*INDEX('W Assumptions'!$D$12:$F$12,1,D135)*INDEX('W Assumptions'!$D$33:$F$33,1,D135)</f>
        <v>0</v>
      </c>
      <c r="K135" s="81" t="n">
        <f aca="false">'W Sites'!$L$15*F135*IF(((YEAR(C135)-YEAR('W Sites'!$F$15))*12+MONTH(C135)-MONTH('W Sites'!$F$15))=0,'W Assumptions'!$D$62,IF(((YEAR(C135)-YEAR('W Sites'!$F$15))*12+MONTH(C135)-MONTH('W Sites'!$F$15))=1,'W Assumptions'!$D$63,1))*INDEX('W Assumptions'!$D$7:$F$7,1,D135)*INDEX('W Assumptions'!$D$32:$F$32,1,D135)</f>
        <v>0</v>
      </c>
      <c r="L135" s="81" t="n">
        <f aca="false">SUM(I135:K135)</f>
        <v>0</v>
      </c>
      <c r="M135" s="81" t="n">
        <f aca="false">'W Site Costs'!$I$15*F135*INDEX('W Assumptions'!$D$34:$F$34,1,D135)*INDEX('W Assumptions'!$D$22:$F$22,1,D135)</f>
        <v>0</v>
      </c>
      <c r="N135" s="81" t="n">
        <f aca="false">'W Site Costs'!$J$15*F135*INDEX('W Assumptions'!$D$35:$F$35,1,D135)*INDEX('W Assumptions'!$D$22:$F$22,1,D135)</f>
        <v>0</v>
      </c>
      <c r="O135" s="81" t="n">
        <f aca="false">L135*'W Site Costs'!$K$15</f>
        <v>0</v>
      </c>
      <c r="P135" s="81" t="n">
        <f aca="false">SUM('W Site Costs'!$L$15:$Q$15)*F135*INDEX('W Assumptions'!$D$35:$F$35,1,D135)*INDEX('W Assumptions'!$D$22:$F$22,1,D135)</f>
        <v>0</v>
      </c>
      <c r="Q135" s="81" t="n">
        <f aca="false">L135*'W Site Costs'!$R$15*INDEX('W Assumptions'!$D$17:$F$17,1,D135)</f>
        <v>0</v>
      </c>
      <c r="R135" s="112" t="n">
        <f aca="false">L135*'W Sites'!$M$15</f>
        <v>0</v>
      </c>
      <c r="S135" s="81" t="n">
        <f aca="false">SUM(M135:R135)</f>
        <v>0</v>
      </c>
      <c r="T135" s="81" t="n">
        <f aca="false">L135-S135</f>
        <v>0</v>
      </c>
      <c r="U135" s="81" t="n">
        <f aca="false">IF(C135='W Budget &amp; Owners'!$I$15,'W Budget &amp; Owners'!$F$15*'W Sites'!$G$15,0)</f>
        <v>0</v>
      </c>
      <c r="V135" s="81" t="n">
        <f aca="false">'W Sites'!$G$15*'W Budget &amp; Owners'!$E$15*INDEX('W Assumptions'!$D$27:$F$27,1,D135)*(IF(C135='W Budget &amp; Owners'!$I$15,'W Assumptions'!$D$65,0)+IF(C135=DATE(YEAR('W Sites'!$F$15),MONTH('W Sites'!$F$15),1),1-'W Assumptions'!$D$65,0))+'W Sites'!$G$15*'W Budget &amp; Owners'!$E$15*IF(C135=DATE(2027,9,1),'W Assumptions'!$D$67,IF(C135=DATE(2028,9,1),'W Assumptions'!$D$69,0))</f>
        <v>0</v>
      </c>
      <c r="W135" s="81" t="n">
        <f aca="false">IF(((YEAR(C135)-YEAR('W Sites'!$F$15))*12+MONTH(C135)-MONTH('W Sites'!$F$15))&lt;'W Budget &amp; Owners'!$H$15,'W Budget &amp; Owners'!$E$15/'W Budget &amp; Owners'!$H$15*F135,0)+IF(C135&gt;=DATE(2027,9,1),'W Budget &amp; Owners'!$E$15*'W Assumptions'!$D$67/'W Budget &amp; Owners'!$H$15*F135,0)+IF(C135&gt;=DATE(2028,9,1),'W Budget &amp; Owners'!$E$15*'W Assumptions'!$D$69/'W Budget &amp; Owners'!$H$15*F135,0)</f>
        <v>0</v>
      </c>
      <c r="X135" s="81" t="n">
        <f aca="false">IF(C135='W Budget &amp; Owners'!$I$15,'W Budget &amp; Owners'!$G$15*'W Sites'!$G$15,0)</f>
        <v>0</v>
      </c>
      <c r="Y135" s="112" t="n">
        <f aca="false">IF(SUM($G$126:$G$135)=0,0,'W Fees &amp; KPI'!$Q$18*G135/SUM($G$126:$G$135))</f>
        <v>0</v>
      </c>
      <c r="Z135" s="119" t="n">
        <f aca="false">IF(SUM($G$126:$G$135)=0,0,SUM('W Fees &amp; KPI'!$J$18,'W Fees &amp; KPI'!$M$18)*G135/SUM($G$126:$G$135))</f>
        <v>0</v>
      </c>
      <c r="AA135" s="117" t="n">
        <f aca="false">T135-U135-Z135-Y135</f>
        <v>0</v>
      </c>
      <c r="AB135" s="119" t="n">
        <f aca="false">IF('W Fees &amp; KPI'!$D$18=0,0,T135-U135-Z135)</f>
        <v>0</v>
      </c>
    </row>
    <row r="136" customFormat="false" ht="21" hidden="false" customHeight="true" outlineLevel="0" collapsed="false">
      <c r="C136" s="144" t="n">
        <f aca="false">46661</f>
        <v>46661</v>
      </c>
      <c r="D136" s="81" t="n">
        <f aca="false">2</f>
        <v>2</v>
      </c>
      <c r="E136" s="81" t="str">
        <f aca="false">'W Sites'!C6</f>
        <v>S01</v>
      </c>
      <c r="F136" s="145" t="n">
        <f aca="false">'W Sites'!$G$6*MAX(0,EOMONTH(C136,0)-MAX(C136,'W Sites'!$F$6)+1)/DAY(EOMONTH(C136,0))</f>
        <v>1</v>
      </c>
      <c r="G136" s="145" t="n">
        <f aca="false">'W Sites'!$G$6*MAX(0,EOMONTH(C136,0)-MAX(C136,'W Sites'!$F$6,'W Assumptions'!$D$58)+1)/DAY(EOMONTH(C136,0))</f>
        <v>1</v>
      </c>
      <c r="H136" s="81" t="n">
        <f aca="false">'W Sites'!$D$45*INDEX('W Sites'!$E$65:$E$76,MONTH(C136),1)/SUM('W Sites'!$E$65:$E$76)*F136*(1+'W Sites'!$D$56)^(D136-1)*INDEX('W Assumptions'!$D$7:$F$7,1,D136)</f>
        <v>4969.28</v>
      </c>
      <c r="I136" s="81" t="n">
        <f aca="false">H136*'W Sites'!$D$46/(1+'W Sites'!$D$54*'W Assumptions'!$D$39)*INDEX('W Assumptions'!$D$12:$F$12,1,D136)</f>
        <v>273310.4</v>
      </c>
      <c r="J136" s="81" t="n">
        <f aca="false">H136*SUM('W Sites'!$D$47:$D$49)/(1+'W Sites'!$D$54*'W Assumptions'!$D$39)*INDEX('W Assumptions'!$D$12:$F$12,1,D136)</f>
        <v>149078.4</v>
      </c>
      <c r="K136" s="81" t="n">
        <f aca="false">SUM('W Sites'!$D$50:$D$52)/12*F136*(1+'W Sites'!$D$56)^(D136-1)*INDEX('W Assumptions'!$D$7:$F$7,1,D136)*INDEX('W Assumptions'!$D$12:$F$12,1,D136)/(1+'W Sites'!$D$54*'W Assumptions'!$D$39)</f>
        <v>35333.3333333333</v>
      </c>
      <c r="L136" s="81" t="n">
        <f aca="false">SUM(I136:K136)</f>
        <v>457722.133333333</v>
      </c>
      <c r="M136" s="81" t="n">
        <f aca="false">('W Site Costs'!$I$6+INDEX('W Sites'!$F$65:$F$76,MONTH(C136),1)*'W Site Costs'!$V$6)*F136*(1+'W Sites'!$D$58)^(D136-1)*INDEX('W Assumptions'!$D$22:$F$22,1,D136)</f>
        <v>112840</v>
      </c>
      <c r="N136" s="81" t="n">
        <f aca="false">'W Site Costs'!$J$6*F136*INDEX('W Assumptions'!$D$35:$F$35,1,D136)*INDEX('W Assumptions'!$D$22:$F$22,1,D136)</f>
        <v>15600</v>
      </c>
      <c r="O136" s="81" t="n">
        <f aca="false">L136*'W Site Costs'!$K$6</f>
        <v>0</v>
      </c>
      <c r="P136" s="81" t="n">
        <f aca="false">(SUM('W Site Costs'!$L$6:$Q$6)+INDEX('W Sites'!$F$65:$F$76,MONTH(C136),1)*'W Site Costs'!$W$6)*F136*(1+'W Sites'!$D$58)^(D136-1)*INDEX('W Assumptions'!$D$22:$F$22,1,D136)</f>
        <v>76960</v>
      </c>
      <c r="Q136" s="81" t="n">
        <f aca="false">('W Site Costs'!$X$6+INDEX('W Sites'!$F$65:$F$76,MONTH(C136),1)*'W Site Costs'!$Y$6)*F136*(1+'W Sites'!$D$58)^(D136-1)*INDEX('W Assumptions'!$D$17:$F$17,1,D136)</f>
        <v>18720</v>
      </c>
      <c r="R136" s="112" t="n">
        <f aca="false">L136*'W Sites'!$M$6</f>
        <v>0</v>
      </c>
      <c r="S136" s="81" t="n">
        <f aca="false">SUM(M136:R136)</f>
        <v>224120</v>
      </c>
      <c r="T136" s="81" t="n">
        <f aca="false">L136-S136</f>
        <v>233602.133333333</v>
      </c>
      <c r="U136" s="81" t="n">
        <f aca="false">IF(C136='W Budget &amp; Owners'!$I$6,'W Budget &amp; Owners'!$F$6*'W Sites'!$G$6,0)</f>
        <v>0</v>
      </c>
      <c r="V136" s="81" t="n">
        <f aca="false">'W Sites'!$G$6*'W Budget &amp; Owners'!$E$6*INDEX('W Assumptions'!$D$27:$F$27,1,D136)*(IF(C136='W Budget &amp; Owners'!$I$6,'W Assumptions'!$D$65,0)+IF(C136=DATE(YEAR('W Sites'!$F$6),MONTH('W Sites'!$F$6),1),1-'W Assumptions'!$D$65,0))+'W Sites'!$G$6*'W Budget &amp; Owners'!$E$6*IF(C136=DATE(2027,9,1),'W Assumptions'!$D$67,IF(C136=DATE(2028,9,1),'W Assumptions'!$D$69,0))</f>
        <v>0</v>
      </c>
      <c r="W136" s="81" t="n">
        <f aca="false">IF(((YEAR(C136)-YEAR('W Sites'!$F$6))*12+MONTH(C136)-MONTH('W Sites'!$F$6))&lt;'W Budget &amp; Owners'!$H$6,'W Budget &amp; Owners'!$E$6/'W Budget &amp; Owners'!$H$6*F136,0)+IF(C136&gt;=DATE(2027,9,1),'W Budget &amp; Owners'!$E$6*'W Assumptions'!$D$67/'W Budget &amp; Owners'!$H$6*F136,0)+IF(C136&gt;=DATE(2028,9,1),'W Budget &amp; Owners'!$E$6*'W Assumptions'!$D$69/'W Budget &amp; Owners'!$H$6*F136,0)</f>
        <v>5950</v>
      </c>
      <c r="X136" s="81" t="n">
        <f aca="false">IF(C136='W Budget &amp; Owners'!$I$6,'W Budget &amp; Owners'!$G$6*'W Sites'!$G$6,0)</f>
        <v>0</v>
      </c>
      <c r="Y136" s="112" t="n">
        <f aca="false">IF(SUM($G$136:$G$145)=0,0,'W Fees &amp; KPI'!$Q$19*G136/SUM($G$136:$G$145))</f>
        <v>3959.60634230073</v>
      </c>
      <c r="Z136" s="119" t="n">
        <f aca="false">IF(SUM($G$136:$G$145)=0,0,SUM('W Fees &amp; KPI'!$J$19,'W Fees &amp; KPI'!$M$19)*G136/SUM($G$136:$G$145))</f>
        <v>4611.25</v>
      </c>
      <c r="AA136" s="117" t="n">
        <f aca="false">T136-U136-Z136-Y136</f>
        <v>225031.276991033</v>
      </c>
      <c r="AB136" s="119" t="n">
        <f aca="false">IF('W Fees &amp; KPI'!$D$19=0,0,T136-U136-Z136)</f>
        <v>228990.883333333</v>
      </c>
    </row>
    <row r="137" customFormat="false" ht="21" hidden="false" customHeight="true" outlineLevel="0" collapsed="false">
      <c r="C137" s="144" t="n">
        <f aca="false">46661</f>
        <v>46661</v>
      </c>
      <c r="D137" s="81" t="n">
        <f aca="false">2</f>
        <v>2</v>
      </c>
      <c r="E137" s="81" t="str">
        <f aca="false">'W Sites'!C7</f>
        <v>S02</v>
      </c>
      <c r="F137" s="145" t="n">
        <f aca="false">'W Sites'!$G$7*MAX(0,EOMONTH(C137,0)-MAX(C137,'W Sites'!$F$7)+1)/DAY(EOMONTH(C137,0))</f>
        <v>1</v>
      </c>
      <c r="G137" s="145" t="n">
        <f aca="false">'W Sites'!$G$7*MAX(0,EOMONTH(C137,0)-MAX(C137,'W Sites'!$F$7,'W Assumptions'!$D$58)+1)/DAY(EOMONTH(C137,0))</f>
        <v>1</v>
      </c>
      <c r="H137" s="81" t="n">
        <f aca="false">'W Sites'!$H$7*F137*'W Sites'!$I$7*IF(((YEAR(C137)-YEAR('W Sites'!$F$7))*12+MONTH(C137)-MONTH('W Sites'!$F$7))=0,'W Assumptions'!$D$62,IF(((YEAR(C137)-YEAR('W Sites'!$F$7))*12+MONTH(C137)-MONTH('W Sites'!$F$7))=1,'W Assumptions'!$D$63,1))*INDEX('W Assumptions'!$D$7:$F$7,1,D137)*INDEX('W Assumptions'!$D$32:$F$32,1,D137)*INDEX('W Assumptions'!$D$80:$D$91,MONTH(C137),1)/AVERAGE('W Assumptions'!$D$80:$D$91)</f>
        <v>2425.5</v>
      </c>
      <c r="I137" s="81" t="n">
        <f aca="false">H137*'W Sites'!$J$7/(1+'W Assumptions'!$D$39)*INDEX('W Assumptions'!$D$12:$F$12,1,D137)*INDEX('W Assumptions'!$D$33:$F$33,1,D137)</f>
        <v>76034.1521739131</v>
      </c>
      <c r="J137" s="81" t="n">
        <f aca="false">H137*'W Sites'!$K$7/(1+'W Assumptions'!$D$39)*INDEX('W Assumptions'!$D$12:$F$12,1,D137)*INDEX('W Assumptions'!$D$33:$F$33,1,D137)</f>
        <v>6517.21304347826</v>
      </c>
      <c r="K137" s="81" t="n">
        <f aca="false">'W Sites'!$L$7*F137*IF(((YEAR(C137)-YEAR('W Sites'!$F$7))*12+MONTH(C137)-MONTH('W Sites'!$F$7))=0,'W Assumptions'!$D$62,IF(((YEAR(C137)-YEAR('W Sites'!$F$7))*12+MONTH(C137)-MONTH('W Sites'!$F$7))=1,'W Assumptions'!$D$63,1))*INDEX('W Assumptions'!$D$7:$F$7,1,D137)*INDEX('W Assumptions'!$D$32:$F$32,1,D137)</f>
        <v>5500</v>
      </c>
      <c r="L137" s="81" t="n">
        <f aca="false">SUM(I137:K137)</f>
        <v>88051.3652173913</v>
      </c>
      <c r="M137" s="81" t="n">
        <f aca="false">'W Site Costs'!$I$7*F137*INDEX('W Assumptions'!$D$34:$F$34,1,D137)*INDEX('W Assumptions'!$D$22:$F$22,1,D137)</f>
        <v>34072.5</v>
      </c>
      <c r="N137" s="81" t="n">
        <f aca="false">'W Site Costs'!$J$7*F137*INDEX('W Assumptions'!$D$35:$F$35,1,D137)*INDEX('W Assumptions'!$D$22:$F$22,1,D137)</f>
        <v>0</v>
      </c>
      <c r="O137" s="81" t="n">
        <f aca="false">L137*'W Site Costs'!$K$7</f>
        <v>13207.7047826087</v>
      </c>
      <c r="P137" s="81" t="n">
        <f aca="false">SUM('W Site Costs'!$L$7:$Q$7)*F137*INDEX('W Assumptions'!$D$35:$F$35,1,D137)*INDEX('W Assumptions'!$D$22:$F$22,1,D137)</f>
        <v>12168</v>
      </c>
      <c r="Q137" s="81" t="n">
        <f aca="false">L137*'W Site Costs'!$R$7*INDEX('W Assumptions'!$D$17:$F$17,1,D137)</f>
        <v>5283.08191304348</v>
      </c>
      <c r="R137" s="112" t="n">
        <f aca="false">L137*'W Sites'!$M$7</f>
        <v>0</v>
      </c>
      <c r="S137" s="81" t="n">
        <f aca="false">SUM(M137:R137)</f>
        <v>64731.2866956522</v>
      </c>
      <c r="T137" s="81" t="n">
        <f aca="false">L137-S137</f>
        <v>23320.0785217391</v>
      </c>
      <c r="U137" s="81" t="n">
        <f aca="false">IF(C137='W Budget &amp; Owners'!$I$7,'W Budget &amp; Owners'!$F$7*'W Sites'!$G$7,0)</f>
        <v>0</v>
      </c>
      <c r="V137" s="81" t="n">
        <f aca="false">'W Sites'!$G$7*'W Budget &amp; Owners'!$E$7*INDEX('W Assumptions'!$D$27:$F$27,1,D137)*(IF(C137='W Budget &amp; Owners'!$I$7,'W Assumptions'!$D$65,0)+IF(C137=DATE(YEAR('W Sites'!$F$7),MONTH('W Sites'!$F$7),1),1-'W Assumptions'!$D$65,0))+'W Sites'!$G$7*'W Budget &amp; Owners'!$E$7*IF(C137=DATE(2027,9,1),'W Assumptions'!$D$67,IF(C137=DATE(2028,9,1),'W Assumptions'!$D$69,0))</f>
        <v>0</v>
      </c>
      <c r="W137" s="81" t="n">
        <f aca="false">IF(((YEAR(C137)-YEAR('W Sites'!$F$7))*12+MONTH(C137)-MONTH('W Sites'!$F$7))&lt;'W Budget &amp; Owners'!$H$7,'W Budget &amp; Owners'!$E$7/'W Budget &amp; Owners'!$H$7*F137,0)+IF(C137&gt;=DATE(2027,9,1),'W Budget &amp; Owners'!$E$7*'W Assumptions'!$D$67/'W Budget &amp; Owners'!$H$7*F137,0)+IF(C137&gt;=DATE(2028,9,1),'W Budget &amp; Owners'!$E$7*'W Assumptions'!$D$69/'W Budget &amp; Owners'!$H$7*F137,0)</f>
        <v>1360</v>
      </c>
      <c r="X137" s="81" t="n">
        <f aca="false">IF(C137='W Budget &amp; Owners'!$I$7,'W Budget &amp; Owners'!$G$7*'W Sites'!$G$7,0)</f>
        <v>0</v>
      </c>
      <c r="Y137" s="112" t="n">
        <f aca="false">IF(SUM($G$136:$G$145)=0,0,'W Fees &amp; KPI'!$Q$19*G137/SUM($G$136:$G$145))</f>
        <v>3959.60634230073</v>
      </c>
      <c r="Z137" s="119" t="n">
        <f aca="false">IF(SUM($G$136:$G$145)=0,0,SUM('W Fees &amp; KPI'!$J$19,'W Fees &amp; KPI'!$M$19)*G137/SUM($G$136:$G$145))</f>
        <v>4611.25</v>
      </c>
      <c r="AA137" s="117" t="n">
        <f aca="false">T137-U137-Z137-Y137</f>
        <v>14749.2221794384</v>
      </c>
      <c r="AB137" s="119" t="n">
        <f aca="false">IF('W Fees &amp; KPI'!$D$19=0,0,T137-U137-Z137)</f>
        <v>18708.8285217391</v>
      </c>
    </row>
    <row r="138" customFormat="false" ht="21" hidden="false" customHeight="true" outlineLevel="0" collapsed="false">
      <c r="C138" s="144" t="n">
        <f aca="false">46661</f>
        <v>46661</v>
      </c>
      <c r="D138" s="81" t="n">
        <f aca="false">2</f>
        <v>2</v>
      </c>
      <c r="E138" s="81" t="str">
        <f aca="false">'W Sites'!C8</f>
        <v>S03</v>
      </c>
      <c r="F138" s="145" t="n">
        <f aca="false">'W Sites'!$G$8*MAX(0,EOMONTH(C138,0)-MAX(C138,'W Sites'!$F$8)+1)/DAY(EOMONTH(C138,0))</f>
        <v>1</v>
      </c>
      <c r="G138" s="145" t="n">
        <f aca="false">'W Sites'!$G$8*MAX(0,EOMONTH(C138,0)-MAX(C138,'W Sites'!$F$8,'W Assumptions'!$D$58)+1)/DAY(EOMONTH(C138,0))</f>
        <v>1</v>
      </c>
      <c r="H138" s="81" t="n">
        <f aca="false">'W Sites'!$H$8*F138*'W Sites'!$I$8*IF(((YEAR(C138)-YEAR('W Sites'!$F$8))*12+MONTH(C138)-MONTH('W Sites'!$F$8))=0,'W Assumptions'!$D$62,IF(((YEAR(C138)-YEAR('W Sites'!$F$8))*12+MONTH(C138)-MONTH('W Sites'!$F$8))=1,'W Assumptions'!$D$63,1))*INDEX('W Assumptions'!$D$7:$F$7,1,D138)*INDEX('W Assumptions'!$D$32:$F$32,1,D138)*INDEX('W Assumptions'!$D$80:$D$91,MONTH(C138),1)/AVERAGE('W Assumptions'!$D$80:$D$91)</f>
        <v>3275.13698630137</v>
      </c>
      <c r="I138" s="81" t="n">
        <f aca="false">H138*'W Sites'!$J$8/(1+'W Assumptions'!$D$39)*INDEX('W Assumptions'!$D$12:$F$12,1,D138)*INDEX('W Assumptions'!$D$33:$F$33,1,D138)</f>
        <v>190669.931506849</v>
      </c>
      <c r="J138" s="81" t="n">
        <f aca="false">H138*'W Sites'!$K$8/(1+'W Assumptions'!$D$39)*INDEX('W Assumptions'!$D$12:$F$12,1,D138)*INDEX('W Assumptions'!$D$33:$F$33,1,D138)</f>
        <v>23467.0684931507</v>
      </c>
      <c r="K138" s="81" t="n">
        <f aca="false">'W Sites'!$L$8*F138*IF(((YEAR(C138)-YEAR('W Sites'!$F$8))*12+MONTH(C138)-MONTH('W Sites'!$F$8))=0,'W Assumptions'!$D$62,IF(((YEAR(C138)-YEAR('W Sites'!$F$8))*12+MONTH(C138)-MONTH('W Sites'!$F$8))=1,'W Assumptions'!$D$63,1))*INDEX('W Assumptions'!$D$7:$F$7,1,D138)*INDEX('W Assumptions'!$D$32:$F$32,1,D138)</f>
        <v>22000</v>
      </c>
      <c r="L138" s="81" t="n">
        <f aca="false">SUM(I138:K138)</f>
        <v>236137</v>
      </c>
      <c r="M138" s="81" t="n">
        <f aca="false">'W Site Costs'!$I$8*F138*INDEX('W Assumptions'!$D$34:$F$34,1,D138)*INDEX('W Assumptions'!$D$22:$F$22,1,D138)</f>
        <v>50427.3</v>
      </c>
      <c r="N138" s="81" t="n">
        <f aca="false">'W Site Costs'!$J$8*F138*INDEX('W Assumptions'!$D$35:$F$35,1,D138)*INDEX('W Assumptions'!$D$22:$F$22,1,D138)</f>
        <v>36400</v>
      </c>
      <c r="O138" s="81" t="n">
        <f aca="false">L138*'W Site Costs'!$K$8</f>
        <v>0</v>
      </c>
      <c r="P138" s="81" t="n">
        <f aca="false">SUM('W Site Costs'!$L$8:$Q$8)*F138*INDEX('W Assumptions'!$D$35:$F$35,1,D138)*INDEX('W Assumptions'!$D$22:$F$22,1,D138)</f>
        <v>20280</v>
      </c>
      <c r="Q138" s="81" t="n">
        <f aca="false">L138*'W Site Costs'!$R$8*INDEX('W Assumptions'!$D$17:$F$17,1,D138)</f>
        <v>18890.96</v>
      </c>
      <c r="R138" s="112" t="n">
        <f aca="false">L138*'W Sites'!$M$8</f>
        <v>0</v>
      </c>
      <c r="S138" s="81" t="n">
        <f aca="false">SUM(M138:R138)</f>
        <v>125998.26</v>
      </c>
      <c r="T138" s="81" t="n">
        <f aca="false">L138-S138</f>
        <v>110138.74</v>
      </c>
      <c r="U138" s="81" t="n">
        <f aca="false">IF(C138='W Budget &amp; Owners'!$I$8,'W Budget &amp; Owners'!$F$8*'W Sites'!$G$8,0)</f>
        <v>0</v>
      </c>
      <c r="V138" s="81" t="n">
        <f aca="false">'W Sites'!$G$8*'W Budget &amp; Owners'!$E$8*INDEX('W Assumptions'!$D$27:$F$27,1,D138)*(IF(C138='W Budget &amp; Owners'!$I$8,'W Assumptions'!$D$65,0)+IF(C138=DATE(YEAR('W Sites'!$F$8),MONTH('W Sites'!$F$8),1),1-'W Assumptions'!$D$65,0))+'W Sites'!$G$8*'W Budget &amp; Owners'!$E$8*IF(C138=DATE(2027,9,1),'W Assumptions'!$D$67,IF(C138=DATE(2028,9,1),'W Assumptions'!$D$69,0))</f>
        <v>0</v>
      </c>
      <c r="W138" s="81" t="n">
        <f aca="false">IF(((YEAR(C138)-YEAR('W Sites'!$F$8))*12+MONTH(C138)-MONTH('W Sites'!$F$8))&lt;'W Budget &amp; Owners'!$H$8,'W Budget &amp; Owners'!$E$8/'W Budget &amp; Owners'!$H$8*F138,0)+IF(C138&gt;=DATE(2027,9,1),'W Budget &amp; Owners'!$E$8*'W Assumptions'!$D$67/'W Budget &amp; Owners'!$H$8*F138,0)+IF(C138&gt;=DATE(2028,9,1),'W Budget &amp; Owners'!$E$8*'W Assumptions'!$D$69/'W Budget &amp; Owners'!$H$8*F138,0)</f>
        <v>10200</v>
      </c>
      <c r="X138" s="81" t="n">
        <f aca="false">IF(C138='W Budget &amp; Owners'!$I$8,'W Budget &amp; Owners'!$G$8*'W Sites'!$G$8,0)</f>
        <v>0</v>
      </c>
      <c r="Y138" s="112" t="n">
        <f aca="false">IF(SUM($G$136:$G$145)=0,0,'W Fees &amp; KPI'!$Q$19*G138/SUM($G$136:$G$145))</f>
        <v>3959.60634230073</v>
      </c>
      <c r="Z138" s="119" t="n">
        <f aca="false">IF(SUM($G$136:$G$145)=0,0,SUM('W Fees &amp; KPI'!$J$19,'W Fees &amp; KPI'!$M$19)*G138/SUM($G$136:$G$145))</f>
        <v>4611.25</v>
      </c>
      <c r="AA138" s="117" t="n">
        <f aca="false">T138-U138-Z138-Y138</f>
        <v>101567.883657699</v>
      </c>
      <c r="AB138" s="119" t="n">
        <f aca="false">IF('W Fees &amp; KPI'!$D$19=0,0,T138-U138-Z138)</f>
        <v>105527.49</v>
      </c>
    </row>
    <row r="139" customFormat="false" ht="21" hidden="false" customHeight="true" outlineLevel="0" collapsed="false">
      <c r="C139" s="144" t="n">
        <f aca="false">46661</f>
        <v>46661</v>
      </c>
      <c r="D139" s="81" t="n">
        <f aca="false">2</f>
        <v>2</v>
      </c>
      <c r="E139" s="81" t="str">
        <f aca="false">'W Sites'!C9</f>
        <v>S04</v>
      </c>
      <c r="F139" s="145" t="n">
        <f aca="false">'W Sites'!$G$9*MAX(0,EOMONTH(C139,0)-MAX(C139,'W Sites'!$F$9)+1)/DAY(EOMONTH(C139,0))</f>
        <v>1</v>
      </c>
      <c r="G139" s="145" t="n">
        <f aca="false">'W Sites'!$G$9*MAX(0,EOMONTH(C139,0)-MAX(C139,'W Sites'!$F$9,'W Assumptions'!$D$58)+1)/DAY(EOMONTH(C139,0))</f>
        <v>1</v>
      </c>
      <c r="H139" s="81" t="n">
        <f aca="false">'W Sites'!$H$9*F139*'W Sites'!$I$9*IF(((YEAR(C139)-YEAR('W Sites'!$F$9))*12+MONTH(C139)-MONTH('W Sites'!$F$9))=0,'W Assumptions'!$D$62,IF(((YEAR(C139)-YEAR('W Sites'!$F$9))*12+MONTH(C139)-MONTH('W Sites'!$F$9))=1,'W Assumptions'!$D$63,1))*INDEX('W Assumptions'!$D$7:$F$7,1,D139)*INDEX('W Assumptions'!$D$32:$F$32,1,D139)*INDEX('W Assumptions'!$D$80:$D$91,MONTH(C139),1)/AVERAGE('W Assumptions'!$D$80:$D$91)</f>
        <v>2305.98958333333</v>
      </c>
      <c r="I139" s="81" t="n">
        <f aca="false">H139*'W Sites'!$J$9/(1+'W Assumptions'!$D$39)*INDEX('W Assumptions'!$D$12:$F$12,1,D139)*INDEX('W Assumptions'!$D$33:$F$33,1,D139)</f>
        <v>134248.697916667</v>
      </c>
      <c r="J139" s="81" t="n">
        <f aca="false">H139*'W Sites'!$K$9/(1+'W Assumptions'!$D$39)*INDEX('W Assumptions'!$D$12:$F$12,1,D139)*INDEX('W Assumptions'!$D$33:$F$33,1,D139)</f>
        <v>14457.5520833333</v>
      </c>
      <c r="K139" s="81" t="n">
        <f aca="false">'W Sites'!$L$9*F139*IF(((YEAR(C139)-YEAR('W Sites'!$F$9))*12+MONTH(C139)-MONTH('W Sites'!$F$9))=0,'W Assumptions'!$D$62,IF(((YEAR(C139)-YEAR('W Sites'!$F$9))*12+MONTH(C139)-MONTH('W Sites'!$F$9))=1,'W Assumptions'!$D$63,1))*INDEX('W Assumptions'!$D$7:$F$7,1,D139)*INDEX('W Assumptions'!$D$32:$F$32,1,D139)</f>
        <v>16500</v>
      </c>
      <c r="L139" s="81" t="n">
        <f aca="false">SUM(I139:K139)</f>
        <v>165206.25</v>
      </c>
      <c r="M139" s="81" t="n">
        <f aca="false">'W Site Costs'!$I$9*F139*INDEX('W Assumptions'!$D$34:$F$34,1,D139)*INDEX('W Assumptions'!$D$22:$F$22,1,D139)</f>
        <v>39648</v>
      </c>
      <c r="N139" s="81" t="n">
        <f aca="false">'W Site Costs'!$J$9*F139*INDEX('W Assumptions'!$D$35:$F$35,1,D139)*INDEX('W Assumptions'!$D$22:$F$22,1,D139)</f>
        <v>22880</v>
      </c>
      <c r="O139" s="81" t="n">
        <f aca="false">L139*'W Site Costs'!$K$9</f>
        <v>0</v>
      </c>
      <c r="P139" s="81" t="n">
        <f aca="false">SUM('W Site Costs'!$L$9:$Q$9)*F139*INDEX('W Assumptions'!$D$35:$F$35,1,D139)*INDEX('W Assumptions'!$D$22:$F$22,1,D139)</f>
        <v>16120</v>
      </c>
      <c r="Q139" s="81" t="n">
        <f aca="false">L139*'W Site Costs'!$R$9*INDEX('W Assumptions'!$D$17:$F$17,1,D139)</f>
        <v>13216.5</v>
      </c>
      <c r="R139" s="112" t="n">
        <f aca="false">L139*'W Sites'!$M$9</f>
        <v>0</v>
      </c>
      <c r="S139" s="81" t="n">
        <f aca="false">SUM(M139:R139)</f>
        <v>91864.5</v>
      </c>
      <c r="T139" s="81" t="n">
        <f aca="false">L139-S139</f>
        <v>73341.7500000001</v>
      </c>
      <c r="U139" s="81" t="n">
        <f aca="false">IF(C139='W Budget &amp; Owners'!$I$9,'W Budget &amp; Owners'!$F$9*'W Sites'!$G$9,0)</f>
        <v>0</v>
      </c>
      <c r="V139" s="81" t="n">
        <f aca="false">'W Sites'!$G$9*'W Budget &amp; Owners'!$E$9*INDEX('W Assumptions'!$D$27:$F$27,1,D139)*(IF(C139='W Budget &amp; Owners'!$I$9,'W Assumptions'!$D$65,0)+IF(C139=DATE(YEAR('W Sites'!$F$9),MONTH('W Sites'!$F$9),1),1-'W Assumptions'!$D$65,0))+'W Sites'!$G$9*'W Budget &amp; Owners'!$E$9*IF(C139=DATE(2027,9,1),'W Assumptions'!$D$67,IF(C139=DATE(2028,9,1),'W Assumptions'!$D$69,0))</f>
        <v>0</v>
      </c>
      <c r="W139" s="81" t="n">
        <f aca="false">IF(((YEAR(C139)-YEAR('W Sites'!$F$9))*12+MONTH(C139)-MONTH('W Sites'!$F$9))&lt;'W Budget &amp; Owners'!$H$9,'W Budget &amp; Owners'!$E$9/'W Budget &amp; Owners'!$H$9*F139,0)+IF(C139&gt;=DATE(2027,9,1),'W Budget &amp; Owners'!$E$9*'W Assumptions'!$D$67/'W Budget &amp; Owners'!$H$9*F139,0)+IF(C139&gt;=DATE(2028,9,1),'W Budget &amp; Owners'!$E$9*'W Assumptions'!$D$69/'W Budget &amp; Owners'!$H$9*F139,0)</f>
        <v>8500</v>
      </c>
      <c r="X139" s="81" t="n">
        <f aca="false">IF(C139='W Budget &amp; Owners'!$I$9,'W Budget &amp; Owners'!$G$9*'W Sites'!$G$9,0)</f>
        <v>0</v>
      </c>
      <c r="Y139" s="112" t="n">
        <f aca="false">IF(SUM($G$136:$G$145)=0,0,'W Fees &amp; KPI'!$Q$19*G139/SUM($G$136:$G$145))</f>
        <v>3959.60634230073</v>
      </c>
      <c r="Z139" s="119" t="n">
        <f aca="false">IF(SUM($G$136:$G$145)=0,0,SUM('W Fees &amp; KPI'!$J$19,'W Fees &amp; KPI'!$M$19)*G139/SUM($G$136:$G$145))</f>
        <v>4611.25</v>
      </c>
      <c r="AA139" s="117" t="n">
        <f aca="false">T139-U139-Z139-Y139</f>
        <v>64770.8936576993</v>
      </c>
      <c r="AB139" s="119" t="n">
        <f aca="false">IF('W Fees &amp; KPI'!$D$19=0,0,T139-U139-Z139)</f>
        <v>68730.5000000001</v>
      </c>
    </row>
    <row r="140" customFormat="false" ht="21" hidden="false" customHeight="true" outlineLevel="0" collapsed="false">
      <c r="C140" s="144" t="n">
        <f aca="false">46661</f>
        <v>46661</v>
      </c>
      <c r="D140" s="81" t="n">
        <f aca="false">2</f>
        <v>2</v>
      </c>
      <c r="E140" s="81" t="str">
        <f aca="false">'W Sites'!C10</f>
        <v>S05</v>
      </c>
      <c r="F140" s="145" t="n">
        <f aca="false">'W Sites'!$G$10*MAX(0,EOMONTH(C140,0)-MAX(C140,'W Sites'!$F$10)+1)/DAY(EOMONTH(C140,0))</f>
        <v>1</v>
      </c>
      <c r="G140" s="145" t="n">
        <f aca="false">'W Sites'!$G$10*MAX(0,EOMONTH(C140,0)-MAX(C140,'W Sites'!$F$10,'W Assumptions'!$D$58)+1)/DAY(EOMONTH(C140,0))</f>
        <v>1</v>
      </c>
      <c r="H140" s="81" t="n">
        <f aca="false">'W Sites'!$H$10*F140*'W Sites'!$I$10*IF(((YEAR(C140)-YEAR('W Sites'!$F$10))*12+MONTH(C140)-MONTH('W Sites'!$F$10))=0,'W Assumptions'!$D$62,IF(((YEAR(C140)-YEAR('W Sites'!$F$10))*12+MONTH(C140)-MONTH('W Sites'!$F$10))=1,'W Assumptions'!$D$63,1))*INDEX('W Assumptions'!$D$7:$F$7,1,D140)*INDEX('W Assumptions'!$D$32:$F$32,1,D140)*INDEX('W Assumptions'!$D$80:$D$91,MONTH(C140),1)/AVERAGE('W Assumptions'!$D$80:$D$91)</f>
        <v>2947.62328767123</v>
      </c>
      <c r="I140" s="81" t="n">
        <f aca="false">H140*'W Sites'!$J$10/(1+'W Assumptions'!$D$39)*INDEX('W Assumptions'!$D$12:$F$12,1,D140)*INDEX('W Assumptions'!$D$33:$F$33,1,D140)</f>
        <v>171602.938356164</v>
      </c>
      <c r="J140" s="81" t="n">
        <f aca="false">H140*'W Sites'!$K$10/(1+'W Assumptions'!$D$39)*INDEX('W Assumptions'!$D$12:$F$12,1,D140)*INDEX('W Assumptions'!$D$33:$F$33,1,D140)</f>
        <v>21120.3616438356</v>
      </c>
      <c r="K140" s="81" t="n">
        <f aca="false">'W Sites'!$L$10*F140*IF(((YEAR(C140)-YEAR('W Sites'!$F$10))*12+MONTH(C140)-MONTH('W Sites'!$F$10))=0,'W Assumptions'!$D$62,IF(((YEAR(C140)-YEAR('W Sites'!$F$10))*12+MONTH(C140)-MONTH('W Sites'!$F$10))=1,'W Assumptions'!$D$63,1))*INDEX('W Assumptions'!$D$7:$F$7,1,D140)*INDEX('W Assumptions'!$D$32:$F$32,1,D140)</f>
        <v>19800</v>
      </c>
      <c r="L140" s="81" t="n">
        <f aca="false">SUM(I140:K140)</f>
        <v>212523.3</v>
      </c>
      <c r="M140" s="81" t="n">
        <f aca="false">'W Site Costs'!$I$10*F140*INDEX('W Assumptions'!$D$34:$F$34,1,D140)*INDEX('W Assumptions'!$D$22:$F$22,1,D140)</f>
        <v>50427.3</v>
      </c>
      <c r="N140" s="81" t="n">
        <f aca="false">'W Site Costs'!$J$10*F140*INDEX('W Assumptions'!$D$35:$F$35,1,D140)*INDEX('W Assumptions'!$D$22:$F$22,1,D140)</f>
        <v>31200</v>
      </c>
      <c r="O140" s="81" t="n">
        <f aca="false">L140*'W Site Costs'!$K$10</f>
        <v>0</v>
      </c>
      <c r="P140" s="81" t="n">
        <f aca="false">SUM('W Site Costs'!$L$10:$Q$10)*F140*INDEX('W Assumptions'!$D$35:$F$35,1,D140)*INDEX('W Assumptions'!$D$22:$F$22,1,D140)</f>
        <v>19760</v>
      </c>
      <c r="Q140" s="81" t="n">
        <f aca="false">L140*'W Site Costs'!$R$10*INDEX('W Assumptions'!$D$17:$F$17,1,D140)</f>
        <v>17001.864</v>
      </c>
      <c r="R140" s="112" t="n">
        <f aca="false">L140*'W Sites'!$M$10</f>
        <v>0</v>
      </c>
      <c r="S140" s="81" t="n">
        <f aca="false">SUM(M140:R140)</f>
        <v>118389.164</v>
      </c>
      <c r="T140" s="81" t="n">
        <f aca="false">L140-S140</f>
        <v>94134.136</v>
      </c>
      <c r="U140" s="81" t="n">
        <f aca="false">IF(C140='W Budget &amp; Owners'!$I$10,'W Budget &amp; Owners'!$F$10*'W Sites'!$G$10,0)</f>
        <v>0</v>
      </c>
      <c r="V140" s="81" t="n">
        <f aca="false">'W Sites'!$G$10*'W Budget &amp; Owners'!$E$10*INDEX('W Assumptions'!$D$27:$F$27,1,D140)*(IF(C140='W Budget &amp; Owners'!$I$10,'W Assumptions'!$D$65,0)+IF(C140=DATE(YEAR('W Sites'!$F$10),MONTH('W Sites'!$F$10),1),1-'W Assumptions'!$D$65,0))+'W Sites'!$G$10*'W Budget &amp; Owners'!$E$10*IF(C140=DATE(2027,9,1),'W Assumptions'!$D$67,IF(C140=DATE(2028,9,1),'W Assumptions'!$D$69,0))</f>
        <v>0</v>
      </c>
      <c r="W140" s="81" t="n">
        <f aca="false">IF(((YEAR(C140)-YEAR('W Sites'!$F$10))*12+MONTH(C140)-MONTH('W Sites'!$F$10))&lt;'W Budget &amp; Owners'!$H$10,'W Budget &amp; Owners'!$E$10/'W Budget &amp; Owners'!$H$10*F140,0)+IF(C140&gt;=DATE(2027,9,1),'W Budget &amp; Owners'!$E$10*'W Assumptions'!$D$67/'W Budget &amp; Owners'!$H$10*F140,0)+IF(C140&gt;=DATE(2028,9,1),'W Budget &amp; Owners'!$E$10*'W Assumptions'!$D$69/'W Budget &amp; Owners'!$H$10*F140,0)</f>
        <v>12750</v>
      </c>
      <c r="X140" s="81" t="n">
        <f aca="false">IF(C140='W Budget &amp; Owners'!$I$10,'W Budget &amp; Owners'!$G$10*'W Sites'!$G$10,0)</f>
        <v>0</v>
      </c>
      <c r="Y140" s="112" t="n">
        <f aca="false">IF(SUM($G$136:$G$145)=0,0,'W Fees &amp; KPI'!$Q$19*G140/SUM($G$136:$G$145))</f>
        <v>3959.60634230073</v>
      </c>
      <c r="Z140" s="119" t="n">
        <f aca="false">IF(SUM($G$136:$G$145)=0,0,SUM('W Fees &amp; KPI'!$J$19,'W Fees &amp; KPI'!$M$19)*G140/SUM($G$136:$G$145))</f>
        <v>4611.25</v>
      </c>
      <c r="AA140" s="117" t="n">
        <f aca="false">T140-U140-Z140-Y140</f>
        <v>85563.2796576993</v>
      </c>
      <c r="AB140" s="119" t="n">
        <f aca="false">IF('W Fees &amp; KPI'!$D$19=0,0,T140-U140-Z140)</f>
        <v>89522.886</v>
      </c>
    </row>
    <row r="141" customFormat="false" ht="21" hidden="false" customHeight="true" outlineLevel="0" collapsed="false">
      <c r="C141" s="144" t="n">
        <f aca="false">46661</f>
        <v>46661</v>
      </c>
      <c r="D141" s="81" t="n">
        <f aca="false">2</f>
        <v>2</v>
      </c>
      <c r="E141" s="81" t="str">
        <f aca="false">'W Sites'!C11</f>
        <v>S06</v>
      </c>
      <c r="F141" s="145" t="n">
        <f aca="false">'W Sites'!$G$11*MAX(0,EOMONTH(C141,0)-MAX(C141,'W Sites'!$F$11)+1)/DAY(EOMONTH(C141,0))</f>
        <v>1</v>
      </c>
      <c r="G141" s="145" t="n">
        <f aca="false">'W Sites'!$G$11*MAX(0,EOMONTH(C141,0)-MAX(C141,'W Sites'!$F$11,'W Assumptions'!$D$58)+1)/DAY(EOMONTH(C141,0))</f>
        <v>1</v>
      </c>
      <c r="H141" s="81" t="n">
        <f aca="false">'W Sites'!$H$11*F141*'W Sites'!$I$11*IF(((YEAR(C141)-YEAR('W Sites'!$F$11))*12+MONTH(C141)-MONTH('W Sites'!$F$11))=0,'W Assumptions'!$D$62,IF(((YEAR(C141)-YEAR('W Sites'!$F$11))*12+MONTH(C141)-MONTH('W Sites'!$F$11))=1,'W Assumptions'!$D$63,1))*INDEX('W Assumptions'!$D$7:$F$7,1,D141)*INDEX('W Assumptions'!$D$32:$F$32,1,D141)*INDEX('W Assumptions'!$D$80:$D$91,MONTH(C141),1)/AVERAGE('W Assumptions'!$D$80:$D$91)</f>
        <v>900.9</v>
      </c>
      <c r="I141" s="81" t="n">
        <f aca="false">H141*'W Sites'!$J$11/(1+'W Assumptions'!$D$39)*INDEX('W Assumptions'!$D$12:$F$12,1,D141)*INDEX('W Assumptions'!$D$33:$F$33,1,D141)</f>
        <v>48413.5826086957</v>
      </c>
      <c r="J141" s="81" t="n">
        <f aca="false">H141*'W Sites'!$K$11/(1+'W Assumptions'!$D$39)*INDEX('W Assumptions'!$D$12:$F$12,1,D141)*INDEX('W Assumptions'!$D$33:$F$33,1,D141)</f>
        <v>2420.67913043478</v>
      </c>
      <c r="K141" s="81" t="n">
        <f aca="false">'W Sites'!$L$11*F141*IF(((YEAR(C141)-YEAR('W Sites'!$F$11))*12+MONTH(C141)-MONTH('W Sites'!$F$11))=0,'W Assumptions'!$D$62,IF(((YEAR(C141)-YEAR('W Sites'!$F$11))*12+MONTH(C141)-MONTH('W Sites'!$F$11))=1,'W Assumptions'!$D$63,1))*INDEX('W Assumptions'!$D$7:$F$7,1,D141)*INDEX('W Assumptions'!$D$32:$F$32,1,D141)</f>
        <v>22000</v>
      </c>
      <c r="L141" s="81" t="n">
        <f aca="false">SUM(I141:K141)</f>
        <v>72834.2617391305</v>
      </c>
      <c r="M141" s="81" t="n">
        <f aca="false">'W Site Costs'!$I$11*F141*INDEX('W Assumptions'!$D$34:$F$34,1,D141)*INDEX('W Assumptions'!$D$22:$F$22,1,D141)</f>
        <v>25027.8</v>
      </c>
      <c r="N141" s="81" t="n">
        <f aca="false">'W Site Costs'!$J$11*F141*INDEX('W Assumptions'!$D$35:$F$35,1,D141)*INDEX('W Assumptions'!$D$22:$F$22,1,D141)</f>
        <v>5200</v>
      </c>
      <c r="O141" s="81" t="n">
        <f aca="false">L141*'W Site Costs'!$K$11</f>
        <v>0</v>
      </c>
      <c r="P141" s="81" t="n">
        <f aca="false">SUM('W Site Costs'!$L$11:$Q$11)*F141*INDEX('W Assumptions'!$D$35:$F$35,1,D141)*INDEX('W Assumptions'!$D$22:$F$22,1,D141)</f>
        <v>8320</v>
      </c>
      <c r="Q141" s="81" t="n">
        <f aca="false">L141*'W Site Costs'!$R$11*INDEX('W Assumptions'!$D$17:$F$17,1,D141)</f>
        <v>7283.42617391305</v>
      </c>
      <c r="R141" s="112" t="n">
        <f aca="false">L141*'W Sites'!$M$11</f>
        <v>0</v>
      </c>
      <c r="S141" s="81" t="n">
        <f aca="false">SUM(M141:R141)</f>
        <v>45831.2261739131</v>
      </c>
      <c r="T141" s="81" t="n">
        <f aca="false">L141-S141</f>
        <v>27003.0355652174</v>
      </c>
      <c r="U141" s="81" t="n">
        <f aca="false">IF(C141='W Budget &amp; Owners'!$I$11,'W Budget &amp; Owners'!$F$11*'W Sites'!$G$11,0)</f>
        <v>0</v>
      </c>
      <c r="V141" s="81" t="n">
        <f aca="false">'W Sites'!$G$11*'W Budget &amp; Owners'!$E$11*INDEX('W Assumptions'!$D$27:$F$27,1,D141)*(IF(C141='W Budget &amp; Owners'!$I$11,'W Assumptions'!$D$65,0)+IF(C141=DATE(YEAR('W Sites'!$F$11),MONTH('W Sites'!$F$11),1),1-'W Assumptions'!$D$65,0))+'W Sites'!$G$11*'W Budget &amp; Owners'!$E$11*IF(C141=DATE(2027,9,1),'W Assumptions'!$D$67,IF(C141=DATE(2028,9,1),'W Assumptions'!$D$69,0))</f>
        <v>0</v>
      </c>
      <c r="W141" s="81" t="n">
        <f aca="false">IF(((YEAR(C141)-YEAR('W Sites'!$F$11))*12+MONTH(C141)-MONTH('W Sites'!$F$11))&lt;'W Budget &amp; Owners'!$H$11,'W Budget &amp; Owners'!$E$11/'W Budget &amp; Owners'!$H$11*F141,0)+IF(C141&gt;=DATE(2027,9,1),'W Budget &amp; Owners'!$E$11*'W Assumptions'!$D$67/'W Budget &amp; Owners'!$H$11*F141,0)+IF(C141&gt;=DATE(2028,9,1),'W Budget &amp; Owners'!$E$11*'W Assumptions'!$D$69/'W Budget &amp; Owners'!$H$11*F141,0)</f>
        <v>2550</v>
      </c>
      <c r="X141" s="81" t="n">
        <f aca="false">IF(C141='W Budget &amp; Owners'!$I$11,'W Budget &amp; Owners'!$G$11*'W Sites'!$G$11,0)</f>
        <v>0</v>
      </c>
      <c r="Y141" s="112" t="n">
        <f aca="false">IF(SUM($G$136:$G$145)=0,0,'W Fees &amp; KPI'!$Q$19*G141/SUM($G$136:$G$145))</f>
        <v>3959.60634230073</v>
      </c>
      <c r="Z141" s="119" t="n">
        <f aca="false">IF(SUM($G$136:$G$145)=0,0,SUM('W Fees &amp; KPI'!$J$19,'W Fees &amp; KPI'!$M$19)*G141/SUM($G$136:$G$145))</f>
        <v>4611.25</v>
      </c>
      <c r="AA141" s="117" t="n">
        <f aca="false">T141-U141-Z141-Y141</f>
        <v>18432.1792229167</v>
      </c>
      <c r="AB141" s="119" t="n">
        <f aca="false">IF('W Fees &amp; KPI'!$D$19=0,0,T141-U141-Z141)</f>
        <v>22391.7855652174</v>
      </c>
    </row>
    <row r="142" customFormat="false" ht="21" hidden="false" customHeight="true" outlineLevel="0" collapsed="false">
      <c r="C142" s="144" t="n">
        <f aca="false">46661</f>
        <v>46661</v>
      </c>
      <c r="D142" s="81" t="n">
        <f aca="false">2</f>
        <v>2</v>
      </c>
      <c r="E142" s="81" t="str">
        <f aca="false">'W Sites'!C12</f>
        <v>S07</v>
      </c>
      <c r="F142" s="145" t="n">
        <f aca="false">'W Sites'!$G$12*MAX(0,EOMONTH(C142,0)-MAX(C142,'W Sites'!$F$12)+1)/DAY(EOMONTH(C142,0))</f>
        <v>1</v>
      </c>
      <c r="G142" s="145" t="n">
        <f aca="false">'W Sites'!$G$12*MAX(0,EOMONTH(C142,0)-MAX(C142,'W Sites'!$F$12,'W Assumptions'!$D$58)+1)/DAY(EOMONTH(C142,0))</f>
        <v>1</v>
      </c>
      <c r="H142" s="81" t="n">
        <f aca="false">'W Sites'!$H$12*F142*'W Sites'!$I$12*IF(((YEAR(C142)-YEAR('W Sites'!$F$12))*12+MONTH(C142)-MONTH('W Sites'!$F$12))=0,'W Assumptions'!$D$62,IF(((YEAR(C142)-YEAR('W Sites'!$F$12))*12+MONTH(C142)-MONTH('W Sites'!$F$12))=1,'W Assumptions'!$D$63,1))*INDEX('W Assumptions'!$D$7:$F$7,1,D142)*INDEX('W Assumptions'!$D$32:$F$32,1,D142)*INDEX('W Assumptions'!$D$80:$D$91,MONTH(C142),1)/AVERAGE('W Assumptions'!$D$80:$D$91)</f>
        <v>1051.05</v>
      </c>
      <c r="I142" s="81" t="n">
        <f aca="false">H142*'W Sites'!$J$12/(1+'W Assumptions'!$D$39)*INDEX('W Assumptions'!$D$12:$F$12,1,D142)*INDEX('W Assumptions'!$D$33:$F$33,1,D142)</f>
        <v>56482.5130434783</v>
      </c>
      <c r="J142" s="81" t="n">
        <f aca="false">H142*'W Sites'!$K$12/(1+'W Assumptions'!$D$39)*INDEX('W Assumptions'!$D$12:$F$12,1,D142)*INDEX('W Assumptions'!$D$33:$F$33,1,D142)</f>
        <v>2824.12565217391</v>
      </c>
      <c r="K142" s="81" t="n">
        <f aca="false">'W Sites'!$L$12*F142*IF(((YEAR(C142)-YEAR('W Sites'!$F$12))*12+MONTH(C142)-MONTH('W Sites'!$F$12))=0,'W Assumptions'!$D$62,IF(((YEAR(C142)-YEAR('W Sites'!$F$12))*12+MONTH(C142)-MONTH('W Sites'!$F$12))=1,'W Assumptions'!$D$63,1))*INDEX('W Assumptions'!$D$7:$F$7,1,D142)*INDEX('W Assumptions'!$D$32:$F$32,1,D142)</f>
        <v>19800</v>
      </c>
      <c r="L142" s="81" t="n">
        <f aca="false">SUM(I142:K142)</f>
        <v>79106.6386956522</v>
      </c>
      <c r="M142" s="81" t="n">
        <f aca="false">'W Site Costs'!$I$12*F142*INDEX('W Assumptions'!$D$34:$F$34,1,D142)*INDEX('W Assumptions'!$D$22:$F$22,1,D142)</f>
        <v>25027.8</v>
      </c>
      <c r="N142" s="81" t="n">
        <f aca="false">'W Site Costs'!$J$12*F142*INDEX('W Assumptions'!$D$35:$F$35,1,D142)*INDEX('W Assumptions'!$D$22:$F$22,1,D142)</f>
        <v>8320</v>
      </c>
      <c r="O142" s="81" t="n">
        <f aca="false">L142*'W Site Costs'!$K$12</f>
        <v>0</v>
      </c>
      <c r="P142" s="81" t="n">
        <f aca="false">SUM('W Site Costs'!$L$12:$Q$12)*F142*INDEX('W Assumptions'!$D$35:$F$35,1,D142)*INDEX('W Assumptions'!$D$22:$F$22,1,D142)</f>
        <v>8840</v>
      </c>
      <c r="Q142" s="81" t="n">
        <f aca="false">L142*'W Site Costs'!$R$12*INDEX('W Assumptions'!$D$17:$F$17,1,D142)</f>
        <v>7910.66386956522</v>
      </c>
      <c r="R142" s="112" t="n">
        <f aca="false">L142*'W Sites'!$M$12</f>
        <v>0</v>
      </c>
      <c r="S142" s="81" t="n">
        <f aca="false">SUM(M142:R142)</f>
        <v>50098.4638695652</v>
      </c>
      <c r="T142" s="81" t="n">
        <f aca="false">L142-S142</f>
        <v>29008.174826087</v>
      </c>
      <c r="U142" s="81" t="n">
        <f aca="false">IF(C142='W Budget &amp; Owners'!$I$12,'W Budget &amp; Owners'!$F$12*'W Sites'!$G$12,0)</f>
        <v>0</v>
      </c>
      <c r="V142" s="81" t="n">
        <f aca="false">'W Sites'!$G$12*'W Budget &amp; Owners'!$E$12*INDEX('W Assumptions'!$D$27:$F$27,1,D142)*(IF(C142='W Budget &amp; Owners'!$I$12,'W Assumptions'!$D$65,0)+IF(C142=DATE(YEAR('W Sites'!$F$12),MONTH('W Sites'!$F$12),1),1-'W Assumptions'!$D$65,0))+'W Sites'!$G$12*'W Budget &amp; Owners'!$E$12*IF(C142=DATE(2027,9,1),'W Assumptions'!$D$67,IF(C142=DATE(2028,9,1),'W Assumptions'!$D$69,0))</f>
        <v>0</v>
      </c>
      <c r="W142" s="81" t="n">
        <f aca="false">IF(((YEAR(C142)-YEAR('W Sites'!$F$12))*12+MONTH(C142)-MONTH('W Sites'!$F$12))&lt;'W Budget &amp; Owners'!$H$12,'W Budget &amp; Owners'!$E$12/'W Budget &amp; Owners'!$H$12*F142,0)+IF(C142&gt;=DATE(2027,9,1),'W Budget &amp; Owners'!$E$12*'W Assumptions'!$D$67/'W Budget &amp; Owners'!$H$12*F142,0)+IF(C142&gt;=DATE(2028,9,1),'W Budget &amp; Owners'!$E$12*'W Assumptions'!$D$69/'W Budget &amp; Owners'!$H$12*F142,0)</f>
        <v>7650</v>
      </c>
      <c r="X142" s="81" t="n">
        <f aca="false">IF(C142='W Budget &amp; Owners'!$I$12,'W Budget &amp; Owners'!$G$12*'W Sites'!$G$12,0)</f>
        <v>0</v>
      </c>
      <c r="Y142" s="112" t="n">
        <f aca="false">IF(SUM($G$136:$G$145)=0,0,'W Fees &amp; KPI'!$Q$19*G142/SUM($G$136:$G$145))</f>
        <v>3959.60634230073</v>
      </c>
      <c r="Z142" s="119" t="n">
        <f aca="false">IF(SUM($G$136:$G$145)=0,0,SUM('W Fees &amp; KPI'!$J$19,'W Fees &amp; KPI'!$M$19)*G142/SUM($G$136:$G$145))</f>
        <v>4611.25</v>
      </c>
      <c r="AA142" s="117" t="n">
        <f aca="false">T142-U142-Z142-Y142</f>
        <v>20437.3184837862</v>
      </c>
      <c r="AB142" s="119" t="n">
        <f aca="false">IF('W Fees &amp; KPI'!$D$19=0,0,T142-U142-Z142)</f>
        <v>24396.924826087</v>
      </c>
    </row>
    <row r="143" customFormat="false" ht="21" hidden="false" customHeight="true" outlineLevel="0" collapsed="false">
      <c r="C143" s="144" t="n">
        <f aca="false">46661</f>
        <v>46661</v>
      </c>
      <c r="D143" s="81" t="n">
        <f aca="false">2</f>
        <v>2</v>
      </c>
      <c r="E143" s="81" t="str">
        <f aca="false">'W Sites'!C13</f>
        <v>S08</v>
      </c>
      <c r="F143" s="145" t="n">
        <f aca="false">'W Sites'!$G$13*MAX(0,EOMONTH(C143,0)-MAX(C143,'W Sites'!$F$13)+1)/DAY(EOMONTH(C143,0))</f>
        <v>1</v>
      </c>
      <c r="G143" s="145" t="n">
        <f aca="false">'W Sites'!$G$13*MAX(0,EOMONTH(C143,0)-MAX(C143,'W Sites'!$F$13,'W Assumptions'!$D$58)+1)/DAY(EOMONTH(C143,0))</f>
        <v>1</v>
      </c>
      <c r="H143" s="81" t="n">
        <f aca="false">'W Sites'!$H$13*F143*'W Sites'!$I$13*IF(((YEAR(C143)-YEAR('W Sites'!$F$13))*12+MONTH(C143)-MONTH('W Sites'!$F$13))=0,'W Assumptions'!$D$62,IF(((YEAR(C143)-YEAR('W Sites'!$F$13))*12+MONTH(C143)-MONTH('W Sites'!$F$13))=1,'W Assumptions'!$D$63,1))*INDEX('W Assumptions'!$D$7:$F$7,1,D143)*INDEX('W Assumptions'!$D$32:$F$32,1,D143)*INDEX('W Assumptions'!$D$80:$D$91,MONTH(C143),1)/AVERAGE('W Assumptions'!$D$80:$D$91)</f>
        <v>4504.5</v>
      </c>
      <c r="I143" s="81" t="n">
        <f aca="false">H143*'W Sites'!$J$13/(1+'W Assumptions'!$D$39)*INDEX('W Assumptions'!$D$12:$F$12,1,D143)*INDEX('W Assumptions'!$D$33:$F$33,1,D143)</f>
        <v>161378.608695652</v>
      </c>
      <c r="J143" s="81" t="n">
        <f aca="false">H143*'W Sites'!$K$13/(1+'W Assumptions'!$D$39)*INDEX('W Assumptions'!$D$12:$F$12,1,D143)*INDEX('W Assumptions'!$D$33:$F$33,1,D143)</f>
        <v>20172.3260869565</v>
      </c>
      <c r="K143" s="81" t="n">
        <f aca="false">'W Sites'!$L$13*F143*IF(((YEAR(C143)-YEAR('W Sites'!$F$13))*12+MONTH(C143)-MONTH('W Sites'!$F$13))=0,'W Assumptions'!$D$62,IF(((YEAR(C143)-YEAR('W Sites'!$F$13))*12+MONTH(C143)-MONTH('W Sites'!$F$13))=1,'W Assumptions'!$D$63,1))*INDEX('W Assumptions'!$D$7:$F$7,1,D143)*INDEX('W Assumptions'!$D$32:$F$32,1,D143)</f>
        <v>16500</v>
      </c>
      <c r="L143" s="81" t="n">
        <f aca="false">SUM(I143:K143)</f>
        <v>198050.934782609</v>
      </c>
      <c r="M143" s="81" t="n">
        <f aca="false">'W Site Costs'!$I$13*F143*INDEX('W Assumptions'!$D$34:$F$34,1,D143)*INDEX('W Assumptions'!$D$22:$F$22,1,D143)</f>
        <v>56002.8</v>
      </c>
      <c r="N143" s="81" t="n">
        <f aca="false">'W Site Costs'!$J$13*F143*INDEX('W Assumptions'!$D$35:$F$35,1,D143)*INDEX('W Assumptions'!$D$22:$F$22,1,D143)</f>
        <v>0</v>
      </c>
      <c r="O143" s="81" t="n">
        <f aca="false">L143*'W Site Costs'!$K$13</f>
        <v>19805.0934782609</v>
      </c>
      <c r="P143" s="81" t="n">
        <f aca="false">SUM('W Site Costs'!$L$13:$Q$13)*F143*INDEX('W Assumptions'!$D$35:$F$35,1,D143)*INDEX('W Assumptions'!$D$22:$F$22,1,D143)</f>
        <v>26520</v>
      </c>
      <c r="Q143" s="81" t="n">
        <f aca="false">L143*'W Site Costs'!$R$13*INDEX('W Assumptions'!$D$17:$F$17,1,D143)</f>
        <v>15844.0747826087</v>
      </c>
      <c r="R143" s="112" t="n">
        <f aca="false">L143*'W Sites'!$M$13</f>
        <v>0</v>
      </c>
      <c r="S143" s="81" t="n">
        <f aca="false">SUM(M143:R143)</f>
        <v>118171.96826087</v>
      </c>
      <c r="T143" s="81" t="n">
        <f aca="false">L143-S143</f>
        <v>79878.9665217391</v>
      </c>
      <c r="U143" s="81" t="n">
        <f aca="false">IF(C143='W Budget &amp; Owners'!$I$13,'W Budget &amp; Owners'!$F$13*'W Sites'!$G$13,0)</f>
        <v>0</v>
      </c>
      <c r="V143" s="81" t="n">
        <f aca="false">'W Sites'!$G$13*'W Budget &amp; Owners'!$E$13*INDEX('W Assumptions'!$D$27:$F$27,1,D143)*(IF(C143='W Budget &amp; Owners'!$I$13,'W Assumptions'!$D$65,0)+IF(C143=DATE(YEAR('W Sites'!$F$13),MONTH('W Sites'!$F$13),1),1-'W Assumptions'!$D$65,0))+'W Sites'!$G$13*'W Budget &amp; Owners'!$E$13*IF(C143=DATE(2027,9,1),'W Assumptions'!$D$67,IF(C143=DATE(2028,9,1),'W Assumptions'!$D$69,0))</f>
        <v>0</v>
      </c>
      <c r="W143" s="81" t="n">
        <f aca="false">IF(((YEAR(C143)-YEAR('W Sites'!$F$13))*12+MONTH(C143)-MONTH('W Sites'!$F$13))&lt;'W Budget &amp; Owners'!$H$13,'W Budget &amp; Owners'!$E$13/'W Budget &amp; Owners'!$H$13*F143,0)+IF(C143&gt;=DATE(2027,9,1),'W Budget &amp; Owners'!$E$13*'W Assumptions'!$D$67/'W Budget &amp; Owners'!$H$13*F143,0)+IF(C143&gt;=DATE(2028,9,1),'W Budget &amp; Owners'!$E$13*'W Assumptions'!$D$69/'W Budget &amp; Owners'!$H$13*F143,0)</f>
        <v>20400</v>
      </c>
      <c r="X143" s="81" t="n">
        <f aca="false">IF(C143='W Budget &amp; Owners'!$I$13,'W Budget &amp; Owners'!$G$13*'W Sites'!$G$13,0)</f>
        <v>0</v>
      </c>
      <c r="Y143" s="112" t="n">
        <f aca="false">IF(SUM($G$136:$G$145)=0,0,'W Fees &amp; KPI'!$Q$19*G143/SUM($G$136:$G$145))</f>
        <v>3959.60634230073</v>
      </c>
      <c r="Z143" s="119" t="n">
        <f aca="false">IF(SUM($G$136:$G$145)=0,0,SUM('W Fees &amp; KPI'!$J$19,'W Fees &amp; KPI'!$M$19)*G143/SUM($G$136:$G$145))</f>
        <v>4611.25</v>
      </c>
      <c r="AA143" s="117" t="n">
        <f aca="false">T143-U143-Z143-Y143</f>
        <v>71308.1101794384</v>
      </c>
      <c r="AB143" s="119" t="n">
        <f aca="false">IF('W Fees &amp; KPI'!$D$19=0,0,T143-U143-Z143)</f>
        <v>75267.7165217391</v>
      </c>
    </row>
    <row r="144" customFormat="false" ht="21" hidden="false" customHeight="true" outlineLevel="0" collapsed="false">
      <c r="C144" s="144" t="n">
        <f aca="false">46661</f>
        <v>46661</v>
      </c>
      <c r="D144" s="81" t="n">
        <f aca="false">2</f>
        <v>2</v>
      </c>
      <c r="E144" s="81" t="str">
        <f aca="false">'W Sites'!C14</f>
        <v>S09</v>
      </c>
      <c r="F144" s="145" t="n">
        <f aca="false">'W Sites'!$G$14*MAX(0,EOMONTH(C144,0)-MAX(C144,'W Sites'!$F$14)+1)/DAY(EOMONTH(C144,0))</f>
        <v>0</v>
      </c>
      <c r="G144" s="145" t="n">
        <f aca="false">'W Sites'!$G$14*MAX(0,EOMONTH(C144,0)-MAX(C144,'W Sites'!$F$14,'W Assumptions'!$D$58)+1)/DAY(EOMONTH(C144,0))</f>
        <v>0</v>
      </c>
      <c r="H144" s="81" t="n">
        <f aca="false">'W Sites'!$H$14*F144*'W Sites'!$I$14*IF(((YEAR(C144)-YEAR('W Sites'!$F$14))*12+MONTH(C144)-MONTH('W Sites'!$F$14))=0,'W Assumptions'!$D$62,IF(((YEAR(C144)-YEAR('W Sites'!$F$14))*12+MONTH(C144)-MONTH('W Sites'!$F$14))=1,'W Assumptions'!$D$63,1))*INDEX('W Assumptions'!$D$7:$F$7,1,D144)*INDEX('W Assumptions'!$D$32:$F$32,1,D144)*INDEX('W Assumptions'!$D$80:$D$91,MONTH(C144),1)/AVERAGE('W Assumptions'!$D$80:$D$91)</f>
        <v>0</v>
      </c>
      <c r="I144" s="81" t="n">
        <f aca="false">H144*'W Sites'!$J$14/(1+'W Assumptions'!$D$39)*INDEX('W Assumptions'!$D$12:$F$12,1,D144)*INDEX('W Assumptions'!$D$33:$F$33,1,D144)</f>
        <v>0</v>
      </c>
      <c r="J144" s="81" t="n">
        <f aca="false">H144*'W Sites'!$K$14/(1+'W Assumptions'!$D$39)*INDEX('W Assumptions'!$D$12:$F$12,1,D144)*INDEX('W Assumptions'!$D$33:$F$33,1,D144)</f>
        <v>0</v>
      </c>
      <c r="K144" s="81" t="n">
        <f aca="false">'W Sites'!$L$14*F144*IF(((YEAR(C144)-YEAR('W Sites'!$F$14))*12+MONTH(C144)-MONTH('W Sites'!$F$14))=0,'W Assumptions'!$D$62,IF(((YEAR(C144)-YEAR('W Sites'!$F$14))*12+MONTH(C144)-MONTH('W Sites'!$F$14))=1,'W Assumptions'!$D$63,1))*INDEX('W Assumptions'!$D$7:$F$7,1,D144)*INDEX('W Assumptions'!$D$32:$F$32,1,D144)</f>
        <v>0</v>
      </c>
      <c r="L144" s="81" t="n">
        <f aca="false">SUM(I144:K144)</f>
        <v>0</v>
      </c>
      <c r="M144" s="81" t="n">
        <f aca="false">'W Site Costs'!$I$14*F144*INDEX('W Assumptions'!$D$34:$F$34,1,D144)*INDEX('W Assumptions'!$D$22:$F$22,1,D144)</f>
        <v>0</v>
      </c>
      <c r="N144" s="81" t="n">
        <f aca="false">'W Site Costs'!$J$14*F144*INDEX('W Assumptions'!$D$35:$F$35,1,D144)*INDEX('W Assumptions'!$D$22:$F$22,1,D144)</f>
        <v>0</v>
      </c>
      <c r="O144" s="81" t="n">
        <f aca="false">L144*'W Site Costs'!$K$14</f>
        <v>0</v>
      </c>
      <c r="P144" s="81" t="n">
        <f aca="false">SUM('W Site Costs'!$L$14:$Q$14)*F144*INDEX('W Assumptions'!$D$35:$F$35,1,D144)*INDEX('W Assumptions'!$D$22:$F$22,1,D144)</f>
        <v>0</v>
      </c>
      <c r="Q144" s="81" t="n">
        <f aca="false">L144*'W Site Costs'!$R$14*INDEX('W Assumptions'!$D$17:$F$17,1,D144)</f>
        <v>0</v>
      </c>
      <c r="R144" s="112" t="n">
        <f aca="false">L144*'W Sites'!$M$14</f>
        <v>0</v>
      </c>
      <c r="S144" s="81" t="n">
        <f aca="false">SUM(M144:R144)</f>
        <v>0</v>
      </c>
      <c r="T144" s="81" t="n">
        <f aca="false">L144-S144</f>
        <v>0</v>
      </c>
      <c r="U144" s="81" t="n">
        <f aca="false">IF(C144='W Budget &amp; Owners'!$I$14,'W Budget &amp; Owners'!$F$14*'W Sites'!$G$14,0)</f>
        <v>0</v>
      </c>
      <c r="V144" s="81" t="n">
        <f aca="false">'W Sites'!$G$14*'W Budget &amp; Owners'!$E$14*INDEX('W Assumptions'!$D$27:$F$27,1,D144)*(IF(C144='W Budget &amp; Owners'!$I$14,'W Assumptions'!$D$65,0)+IF(C144=DATE(YEAR('W Sites'!$F$14),MONTH('W Sites'!$F$14),1),1-'W Assumptions'!$D$65,0))+'W Sites'!$G$14*'W Budget &amp; Owners'!$E$14*IF(C144=DATE(2027,9,1),'W Assumptions'!$D$67,IF(C144=DATE(2028,9,1),'W Assumptions'!$D$69,0))</f>
        <v>0</v>
      </c>
      <c r="W144" s="81" t="n">
        <f aca="false">IF(((YEAR(C144)-YEAR('W Sites'!$F$14))*12+MONTH(C144)-MONTH('W Sites'!$F$14))&lt;'W Budget &amp; Owners'!$H$14,'W Budget &amp; Owners'!$E$14/'W Budget &amp; Owners'!$H$14*F144,0)+IF(C144&gt;=DATE(2027,9,1),'W Budget &amp; Owners'!$E$14*'W Assumptions'!$D$67/'W Budget &amp; Owners'!$H$14*F144,0)+IF(C144&gt;=DATE(2028,9,1),'W Budget &amp; Owners'!$E$14*'W Assumptions'!$D$69/'W Budget &amp; Owners'!$H$14*F144,0)</f>
        <v>0</v>
      </c>
      <c r="X144" s="81" t="n">
        <f aca="false">IF(C144='W Budget &amp; Owners'!$I$14,'W Budget &amp; Owners'!$G$14*'W Sites'!$G$14,0)</f>
        <v>0</v>
      </c>
      <c r="Y144" s="112" t="n">
        <f aca="false">IF(SUM($G$136:$G$145)=0,0,'W Fees &amp; KPI'!$Q$19*G144/SUM($G$136:$G$145))</f>
        <v>0</v>
      </c>
      <c r="Z144" s="119" t="n">
        <f aca="false">IF(SUM($G$136:$G$145)=0,0,SUM('W Fees &amp; KPI'!$J$19,'W Fees &amp; KPI'!$M$19)*G144/SUM($G$136:$G$145))</f>
        <v>0</v>
      </c>
      <c r="AA144" s="117" t="n">
        <f aca="false">T144-U144-Z144-Y144</f>
        <v>0</v>
      </c>
      <c r="AB144" s="119" t="n">
        <f aca="false">IF('W Fees &amp; KPI'!$D$19=0,0,T144-U144-Z144)</f>
        <v>0</v>
      </c>
    </row>
    <row r="145" customFormat="false" ht="21" hidden="false" customHeight="true" outlineLevel="0" collapsed="false">
      <c r="C145" s="144" t="n">
        <f aca="false">46661</f>
        <v>46661</v>
      </c>
      <c r="D145" s="81" t="n">
        <f aca="false">2</f>
        <v>2</v>
      </c>
      <c r="E145" s="81" t="str">
        <f aca="false">'W Sites'!C15</f>
        <v>S10</v>
      </c>
      <c r="F145" s="145" t="n">
        <f aca="false">'W Sites'!$G$15*MAX(0,EOMONTH(C145,0)-MAX(C145,'W Sites'!$F$15)+1)/DAY(EOMONTH(C145,0))</f>
        <v>0</v>
      </c>
      <c r="G145" s="145" t="n">
        <f aca="false">'W Sites'!$G$15*MAX(0,EOMONTH(C145,0)-MAX(C145,'W Sites'!$F$15,'W Assumptions'!$D$58)+1)/DAY(EOMONTH(C145,0))</f>
        <v>0</v>
      </c>
      <c r="H145" s="81" t="n">
        <f aca="false">'W Sites'!$H$15*F145*'W Sites'!$I$15*IF(((YEAR(C145)-YEAR('W Sites'!$F$15))*12+MONTH(C145)-MONTH('W Sites'!$F$15))=0,'W Assumptions'!$D$62,IF(((YEAR(C145)-YEAR('W Sites'!$F$15))*12+MONTH(C145)-MONTH('W Sites'!$F$15))=1,'W Assumptions'!$D$63,1))*INDEX('W Assumptions'!$D$7:$F$7,1,D145)*INDEX('W Assumptions'!$D$32:$F$32,1,D145)*INDEX('W Assumptions'!$D$80:$D$91,MONTH(C145),1)/AVERAGE('W Assumptions'!$D$80:$D$91)</f>
        <v>0</v>
      </c>
      <c r="I145" s="81" t="n">
        <f aca="false">H145*'W Sites'!$J$15/(1+'W Assumptions'!$D$39)*INDEX('W Assumptions'!$D$12:$F$12,1,D145)*INDEX('W Assumptions'!$D$33:$F$33,1,D145)</f>
        <v>0</v>
      </c>
      <c r="J145" s="81" t="n">
        <f aca="false">H145*'W Sites'!$K$15/(1+'W Assumptions'!$D$39)*INDEX('W Assumptions'!$D$12:$F$12,1,D145)*INDEX('W Assumptions'!$D$33:$F$33,1,D145)</f>
        <v>0</v>
      </c>
      <c r="K145" s="81" t="n">
        <f aca="false">'W Sites'!$L$15*F145*IF(((YEAR(C145)-YEAR('W Sites'!$F$15))*12+MONTH(C145)-MONTH('W Sites'!$F$15))=0,'W Assumptions'!$D$62,IF(((YEAR(C145)-YEAR('W Sites'!$F$15))*12+MONTH(C145)-MONTH('W Sites'!$F$15))=1,'W Assumptions'!$D$63,1))*INDEX('W Assumptions'!$D$7:$F$7,1,D145)*INDEX('W Assumptions'!$D$32:$F$32,1,D145)</f>
        <v>0</v>
      </c>
      <c r="L145" s="81" t="n">
        <f aca="false">SUM(I145:K145)</f>
        <v>0</v>
      </c>
      <c r="M145" s="81" t="n">
        <f aca="false">'W Site Costs'!$I$15*F145*INDEX('W Assumptions'!$D$34:$F$34,1,D145)*INDEX('W Assumptions'!$D$22:$F$22,1,D145)</f>
        <v>0</v>
      </c>
      <c r="N145" s="81" t="n">
        <f aca="false">'W Site Costs'!$J$15*F145*INDEX('W Assumptions'!$D$35:$F$35,1,D145)*INDEX('W Assumptions'!$D$22:$F$22,1,D145)</f>
        <v>0</v>
      </c>
      <c r="O145" s="81" t="n">
        <f aca="false">L145*'W Site Costs'!$K$15</f>
        <v>0</v>
      </c>
      <c r="P145" s="81" t="n">
        <f aca="false">SUM('W Site Costs'!$L$15:$Q$15)*F145*INDEX('W Assumptions'!$D$35:$F$35,1,D145)*INDEX('W Assumptions'!$D$22:$F$22,1,D145)</f>
        <v>0</v>
      </c>
      <c r="Q145" s="81" t="n">
        <f aca="false">L145*'W Site Costs'!$R$15*INDEX('W Assumptions'!$D$17:$F$17,1,D145)</f>
        <v>0</v>
      </c>
      <c r="R145" s="112" t="n">
        <f aca="false">L145*'W Sites'!$M$15</f>
        <v>0</v>
      </c>
      <c r="S145" s="81" t="n">
        <f aca="false">SUM(M145:R145)</f>
        <v>0</v>
      </c>
      <c r="T145" s="81" t="n">
        <f aca="false">L145-S145</f>
        <v>0</v>
      </c>
      <c r="U145" s="81" t="n">
        <f aca="false">IF(C145='W Budget &amp; Owners'!$I$15,'W Budget &amp; Owners'!$F$15*'W Sites'!$G$15,0)</f>
        <v>0</v>
      </c>
      <c r="V145" s="81" t="n">
        <f aca="false">'W Sites'!$G$15*'W Budget &amp; Owners'!$E$15*INDEX('W Assumptions'!$D$27:$F$27,1,D145)*(IF(C145='W Budget &amp; Owners'!$I$15,'W Assumptions'!$D$65,0)+IF(C145=DATE(YEAR('W Sites'!$F$15),MONTH('W Sites'!$F$15),1),1-'W Assumptions'!$D$65,0))+'W Sites'!$G$15*'W Budget &amp; Owners'!$E$15*IF(C145=DATE(2027,9,1),'W Assumptions'!$D$67,IF(C145=DATE(2028,9,1),'W Assumptions'!$D$69,0))</f>
        <v>0</v>
      </c>
      <c r="W145" s="81" t="n">
        <f aca="false">IF(((YEAR(C145)-YEAR('W Sites'!$F$15))*12+MONTH(C145)-MONTH('W Sites'!$F$15))&lt;'W Budget &amp; Owners'!$H$15,'W Budget &amp; Owners'!$E$15/'W Budget &amp; Owners'!$H$15*F145,0)+IF(C145&gt;=DATE(2027,9,1),'W Budget &amp; Owners'!$E$15*'W Assumptions'!$D$67/'W Budget &amp; Owners'!$H$15*F145,0)+IF(C145&gt;=DATE(2028,9,1),'W Budget &amp; Owners'!$E$15*'W Assumptions'!$D$69/'W Budget &amp; Owners'!$H$15*F145,0)</f>
        <v>0</v>
      </c>
      <c r="X145" s="81" t="n">
        <f aca="false">IF(C145='W Budget &amp; Owners'!$I$15,'W Budget &amp; Owners'!$G$15*'W Sites'!$G$15,0)</f>
        <v>0</v>
      </c>
      <c r="Y145" s="112" t="n">
        <f aca="false">IF(SUM($G$136:$G$145)=0,0,'W Fees &amp; KPI'!$Q$19*G145/SUM($G$136:$G$145))</f>
        <v>0</v>
      </c>
      <c r="Z145" s="119" t="n">
        <f aca="false">IF(SUM($G$136:$G$145)=0,0,SUM('W Fees &amp; KPI'!$J$19,'W Fees &amp; KPI'!$M$19)*G145/SUM($G$136:$G$145))</f>
        <v>0</v>
      </c>
      <c r="AA145" s="117" t="n">
        <f aca="false">T145-U145-Z145-Y145</f>
        <v>0</v>
      </c>
      <c r="AB145" s="119" t="n">
        <f aca="false">IF('W Fees &amp; KPI'!$D$19=0,0,T145-U145-Z145)</f>
        <v>0</v>
      </c>
    </row>
    <row r="146" customFormat="false" ht="21" hidden="false" customHeight="true" outlineLevel="0" collapsed="false">
      <c r="C146" s="144" t="n">
        <f aca="false">46692</f>
        <v>46692</v>
      </c>
      <c r="D146" s="81" t="n">
        <f aca="false">2</f>
        <v>2</v>
      </c>
      <c r="E146" s="81" t="str">
        <f aca="false">'W Sites'!C6</f>
        <v>S01</v>
      </c>
      <c r="F146" s="145" t="n">
        <f aca="false">'W Sites'!$G$6*MAX(0,EOMONTH(C146,0)-MAX(C146,'W Sites'!$F$6)+1)/DAY(EOMONTH(C146,0))</f>
        <v>1</v>
      </c>
      <c r="G146" s="145" t="n">
        <f aca="false">'W Sites'!$G$6*MAX(0,EOMONTH(C146,0)-MAX(C146,'W Sites'!$F$6,'W Assumptions'!$D$58)+1)/DAY(EOMONTH(C146,0))</f>
        <v>1</v>
      </c>
      <c r="H146" s="81" t="n">
        <f aca="false">'W Sites'!$D$45*INDEX('W Sites'!$E$65:$E$76,MONTH(C146),1)/SUM('W Sites'!$E$65:$E$76)*F146*(1+'W Sites'!$D$56)^(D146-1)*INDEX('W Assumptions'!$D$7:$F$7,1,D146)</f>
        <v>3726.96</v>
      </c>
      <c r="I146" s="81" t="n">
        <f aca="false">H146*'W Sites'!$D$46/(1+'W Sites'!$D$54*'W Assumptions'!$D$39)*INDEX('W Assumptions'!$D$12:$F$12,1,D146)</f>
        <v>204982.8</v>
      </c>
      <c r="J146" s="81" t="n">
        <f aca="false">H146*SUM('W Sites'!$D$47:$D$49)/(1+'W Sites'!$D$54*'W Assumptions'!$D$39)*INDEX('W Assumptions'!$D$12:$F$12,1,D146)</f>
        <v>111808.8</v>
      </c>
      <c r="K146" s="81" t="n">
        <f aca="false">SUM('W Sites'!$D$50:$D$52)/12*F146*(1+'W Sites'!$D$56)^(D146-1)*INDEX('W Assumptions'!$D$7:$F$7,1,D146)*INDEX('W Assumptions'!$D$12:$F$12,1,D146)/(1+'W Sites'!$D$54*'W Assumptions'!$D$39)</f>
        <v>35333.3333333333</v>
      </c>
      <c r="L146" s="81" t="n">
        <f aca="false">SUM(I146:K146)</f>
        <v>352124.933333333</v>
      </c>
      <c r="M146" s="81" t="n">
        <f aca="false">('W Site Costs'!$I$6+INDEX('W Sites'!$F$65:$F$76,MONTH(C146),1)*'W Site Costs'!$V$6)*F146*(1+'W Sites'!$D$58)^(D146-1)*INDEX('W Assumptions'!$D$22:$F$22,1,D146)</f>
        <v>112840</v>
      </c>
      <c r="N146" s="81" t="n">
        <f aca="false">'W Site Costs'!$J$6*F146*INDEX('W Assumptions'!$D$35:$F$35,1,D146)*INDEX('W Assumptions'!$D$22:$F$22,1,D146)</f>
        <v>15600</v>
      </c>
      <c r="O146" s="81" t="n">
        <f aca="false">L146*'W Site Costs'!$K$6</f>
        <v>0</v>
      </c>
      <c r="P146" s="81" t="n">
        <f aca="false">(SUM('W Site Costs'!$L$6:$Q$6)+INDEX('W Sites'!$F$65:$F$76,MONTH(C146),1)*'W Site Costs'!$W$6)*F146*(1+'W Sites'!$D$58)^(D146-1)*INDEX('W Assumptions'!$D$22:$F$22,1,D146)</f>
        <v>76960</v>
      </c>
      <c r="Q146" s="81" t="n">
        <f aca="false">('W Site Costs'!$X$6+INDEX('W Sites'!$F$65:$F$76,MONTH(C146),1)*'W Site Costs'!$Y$6)*F146*(1+'W Sites'!$D$58)^(D146-1)*INDEX('W Assumptions'!$D$17:$F$17,1,D146)</f>
        <v>18720</v>
      </c>
      <c r="R146" s="112" t="n">
        <f aca="false">L146*'W Sites'!$M$6</f>
        <v>0</v>
      </c>
      <c r="S146" s="81" t="n">
        <f aca="false">SUM(M146:R146)</f>
        <v>224120</v>
      </c>
      <c r="T146" s="81" t="n">
        <f aca="false">L146-S146</f>
        <v>128004.933333333</v>
      </c>
      <c r="U146" s="81" t="n">
        <f aca="false">IF(C146='W Budget &amp; Owners'!$I$6,'W Budget &amp; Owners'!$F$6*'W Sites'!$G$6,0)</f>
        <v>0</v>
      </c>
      <c r="V146" s="81" t="n">
        <f aca="false">'W Sites'!$G$6*'W Budget &amp; Owners'!$E$6*INDEX('W Assumptions'!$D$27:$F$27,1,D146)*(IF(C146='W Budget &amp; Owners'!$I$6,'W Assumptions'!$D$65,0)+IF(C146=DATE(YEAR('W Sites'!$F$6),MONTH('W Sites'!$F$6),1),1-'W Assumptions'!$D$65,0))+'W Sites'!$G$6*'W Budget &amp; Owners'!$E$6*IF(C146=DATE(2027,9,1),'W Assumptions'!$D$67,IF(C146=DATE(2028,9,1),'W Assumptions'!$D$69,0))</f>
        <v>0</v>
      </c>
      <c r="W146" s="81" t="n">
        <f aca="false">IF(((YEAR(C146)-YEAR('W Sites'!$F$6))*12+MONTH(C146)-MONTH('W Sites'!$F$6))&lt;'W Budget &amp; Owners'!$H$6,'W Budget &amp; Owners'!$E$6/'W Budget &amp; Owners'!$H$6*F146,0)+IF(C146&gt;=DATE(2027,9,1),'W Budget &amp; Owners'!$E$6*'W Assumptions'!$D$67/'W Budget &amp; Owners'!$H$6*F146,0)+IF(C146&gt;=DATE(2028,9,1),'W Budget &amp; Owners'!$E$6*'W Assumptions'!$D$69/'W Budget &amp; Owners'!$H$6*F146,0)</f>
        <v>5950</v>
      </c>
      <c r="X146" s="81" t="n">
        <f aca="false">IF(C146='W Budget &amp; Owners'!$I$6,'W Budget &amp; Owners'!$G$6*'W Sites'!$G$6,0)</f>
        <v>0</v>
      </c>
      <c r="Y146" s="112" t="n">
        <f aca="false">IF(SUM($G$146:$G$155)=0,0,'W Fees &amp; KPI'!$Q$20*G146/SUM($G$146:$G$155))</f>
        <v>3544.96175344203</v>
      </c>
      <c r="Z146" s="119" t="n">
        <f aca="false">IF(SUM($G$146:$G$155)=0,0,SUM('W Fees &amp; KPI'!$J$20,'W Fees &amp; KPI'!$M$20)*G146/SUM($G$146:$G$155))</f>
        <v>4611.25</v>
      </c>
      <c r="AA146" s="117" t="n">
        <f aca="false">T146-U146-Z146-Y146</f>
        <v>119848.721579891</v>
      </c>
      <c r="AB146" s="119" t="n">
        <f aca="false">IF('W Fees &amp; KPI'!$D$20=0,0,T146-U146-Z146)</f>
        <v>123393.683333333</v>
      </c>
    </row>
    <row r="147" customFormat="false" ht="21" hidden="false" customHeight="true" outlineLevel="0" collapsed="false">
      <c r="C147" s="144" t="n">
        <f aca="false">46692</f>
        <v>46692</v>
      </c>
      <c r="D147" s="81" t="n">
        <f aca="false">2</f>
        <v>2</v>
      </c>
      <c r="E147" s="81" t="str">
        <f aca="false">'W Sites'!C7</f>
        <v>S02</v>
      </c>
      <c r="F147" s="145" t="n">
        <f aca="false">'W Sites'!$G$7*MAX(0,EOMONTH(C147,0)-MAX(C147,'W Sites'!$F$7)+1)/DAY(EOMONTH(C147,0))</f>
        <v>1</v>
      </c>
      <c r="G147" s="145" t="n">
        <f aca="false">'W Sites'!$G$7*MAX(0,EOMONTH(C147,0)-MAX(C147,'W Sites'!$F$7,'W Assumptions'!$D$58)+1)/DAY(EOMONTH(C147,0))</f>
        <v>1</v>
      </c>
      <c r="H147" s="81" t="n">
        <f aca="false">'W Sites'!$H$7*F147*'W Sites'!$I$7*IF(((YEAR(C147)-YEAR('W Sites'!$F$7))*12+MONTH(C147)-MONTH('W Sites'!$F$7))=0,'W Assumptions'!$D$62,IF(((YEAR(C147)-YEAR('W Sites'!$F$7))*12+MONTH(C147)-MONTH('W Sites'!$F$7))=1,'W Assumptions'!$D$63,1))*INDEX('W Assumptions'!$D$7:$F$7,1,D147)*INDEX('W Assumptions'!$D$32:$F$32,1,D147)*INDEX('W Assumptions'!$D$80:$D$91,MONTH(C147),1)/AVERAGE('W Assumptions'!$D$80:$D$91)</f>
        <v>2541</v>
      </c>
      <c r="I147" s="81" t="n">
        <f aca="false">H147*'W Sites'!$J$7/(1+'W Assumptions'!$D$39)*INDEX('W Assumptions'!$D$12:$F$12,1,D147)*INDEX('W Assumptions'!$D$33:$F$33,1,D147)</f>
        <v>79654.8260869565</v>
      </c>
      <c r="J147" s="81" t="n">
        <f aca="false">H147*'W Sites'!$K$7/(1+'W Assumptions'!$D$39)*INDEX('W Assumptions'!$D$12:$F$12,1,D147)*INDEX('W Assumptions'!$D$33:$F$33,1,D147)</f>
        <v>6827.55652173913</v>
      </c>
      <c r="K147" s="81" t="n">
        <f aca="false">'W Sites'!$L$7*F147*IF(((YEAR(C147)-YEAR('W Sites'!$F$7))*12+MONTH(C147)-MONTH('W Sites'!$F$7))=0,'W Assumptions'!$D$62,IF(((YEAR(C147)-YEAR('W Sites'!$F$7))*12+MONTH(C147)-MONTH('W Sites'!$F$7))=1,'W Assumptions'!$D$63,1))*INDEX('W Assumptions'!$D$7:$F$7,1,D147)*INDEX('W Assumptions'!$D$32:$F$32,1,D147)</f>
        <v>5500</v>
      </c>
      <c r="L147" s="81" t="n">
        <f aca="false">SUM(I147:K147)</f>
        <v>91982.3826086957</v>
      </c>
      <c r="M147" s="81" t="n">
        <f aca="false">'W Site Costs'!$I$7*F147*INDEX('W Assumptions'!$D$34:$F$34,1,D147)*INDEX('W Assumptions'!$D$22:$F$22,1,D147)</f>
        <v>34072.5</v>
      </c>
      <c r="N147" s="81" t="n">
        <f aca="false">'W Site Costs'!$J$7*F147*INDEX('W Assumptions'!$D$35:$F$35,1,D147)*INDEX('W Assumptions'!$D$22:$F$22,1,D147)</f>
        <v>0</v>
      </c>
      <c r="O147" s="81" t="n">
        <f aca="false">L147*'W Site Costs'!$K$7</f>
        <v>13797.3573913044</v>
      </c>
      <c r="P147" s="81" t="n">
        <f aca="false">SUM('W Site Costs'!$L$7:$Q$7)*F147*INDEX('W Assumptions'!$D$35:$F$35,1,D147)*INDEX('W Assumptions'!$D$22:$F$22,1,D147)</f>
        <v>12168</v>
      </c>
      <c r="Q147" s="81" t="n">
        <f aca="false">L147*'W Site Costs'!$R$7*INDEX('W Assumptions'!$D$17:$F$17,1,D147)</f>
        <v>5518.94295652174</v>
      </c>
      <c r="R147" s="112" t="n">
        <f aca="false">L147*'W Sites'!$M$7</f>
        <v>0</v>
      </c>
      <c r="S147" s="81" t="n">
        <f aca="false">SUM(M147:R147)</f>
        <v>65556.8003478261</v>
      </c>
      <c r="T147" s="81" t="n">
        <f aca="false">L147-S147</f>
        <v>26425.5822608696</v>
      </c>
      <c r="U147" s="81" t="n">
        <f aca="false">IF(C147='W Budget &amp; Owners'!$I$7,'W Budget &amp; Owners'!$F$7*'W Sites'!$G$7,0)</f>
        <v>0</v>
      </c>
      <c r="V147" s="81" t="n">
        <f aca="false">'W Sites'!$G$7*'W Budget &amp; Owners'!$E$7*INDEX('W Assumptions'!$D$27:$F$27,1,D147)*(IF(C147='W Budget &amp; Owners'!$I$7,'W Assumptions'!$D$65,0)+IF(C147=DATE(YEAR('W Sites'!$F$7),MONTH('W Sites'!$F$7),1),1-'W Assumptions'!$D$65,0))+'W Sites'!$G$7*'W Budget &amp; Owners'!$E$7*IF(C147=DATE(2027,9,1),'W Assumptions'!$D$67,IF(C147=DATE(2028,9,1),'W Assumptions'!$D$69,0))</f>
        <v>0</v>
      </c>
      <c r="W147" s="81" t="n">
        <f aca="false">IF(((YEAR(C147)-YEAR('W Sites'!$F$7))*12+MONTH(C147)-MONTH('W Sites'!$F$7))&lt;'W Budget &amp; Owners'!$H$7,'W Budget &amp; Owners'!$E$7/'W Budget &amp; Owners'!$H$7*F147,0)+IF(C147&gt;=DATE(2027,9,1),'W Budget &amp; Owners'!$E$7*'W Assumptions'!$D$67/'W Budget &amp; Owners'!$H$7*F147,0)+IF(C147&gt;=DATE(2028,9,1),'W Budget &amp; Owners'!$E$7*'W Assumptions'!$D$69/'W Budget &amp; Owners'!$H$7*F147,0)</f>
        <v>1360</v>
      </c>
      <c r="X147" s="81" t="n">
        <f aca="false">IF(C147='W Budget &amp; Owners'!$I$7,'W Budget &amp; Owners'!$G$7*'W Sites'!$G$7,0)</f>
        <v>0</v>
      </c>
      <c r="Y147" s="112" t="n">
        <f aca="false">IF(SUM($G$146:$G$155)=0,0,'W Fees &amp; KPI'!$Q$20*G147/SUM($G$146:$G$155))</f>
        <v>3544.96175344203</v>
      </c>
      <c r="Z147" s="119" t="n">
        <f aca="false">IF(SUM($G$146:$G$155)=0,0,SUM('W Fees &amp; KPI'!$J$20,'W Fees &amp; KPI'!$M$20)*G147/SUM($G$146:$G$155))</f>
        <v>4611.25</v>
      </c>
      <c r="AA147" s="117" t="n">
        <f aca="false">T147-U147-Z147-Y147</f>
        <v>18269.3705074275</v>
      </c>
      <c r="AB147" s="119" t="n">
        <f aca="false">IF('W Fees &amp; KPI'!$D$20=0,0,T147-U147-Z147)</f>
        <v>21814.3322608696</v>
      </c>
    </row>
    <row r="148" customFormat="false" ht="21" hidden="false" customHeight="true" outlineLevel="0" collapsed="false">
      <c r="C148" s="144" t="n">
        <f aca="false">46692</f>
        <v>46692</v>
      </c>
      <c r="D148" s="81" t="n">
        <f aca="false">2</f>
        <v>2</v>
      </c>
      <c r="E148" s="81" t="str">
        <f aca="false">'W Sites'!C8</f>
        <v>S03</v>
      </c>
      <c r="F148" s="145" t="n">
        <f aca="false">'W Sites'!$G$8*MAX(0,EOMONTH(C148,0)-MAX(C148,'W Sites'!$F$8)+1)/DAY(EOMONTH(C148,0))</f>
        <v>1</v>
      </c>
      <c r="G148" s="145" t="n">
        <f aca="false">'W Sites'!$G$8*MAX(0,EOMONTH(C148,0)-MAX(C148,'W Sites'!$F$8,'W Assumptions'!$D$58)+1)/DAY(EOMONTH(C148,0))</f>
        <v>1</v>
      </c>
      <c r="H148" s="81" t="n">
        <f aca="false">'W Sites'!$H$8*F148*'W Sites'!$I$8*IF(((YEAR(C148)-YEAR('W Sites'!$F$8))*12+MONTH(C148)-MONTH('W Sites'!$F$8))=0,'W Assumptions'!$D$62,IF(((YEAR(C148)-YEAR('W Sites'!$F$8))*12+MONTH(C148)-MONTH('W Sites'!$F$8))=1,'W Assumptions'!$D$63,1))*INDEX('W Assumptions'!$D$7:$F$7,1,D148)*INDEX('W Assumptions'!$D$32:$F$32,1,D148)*INDEX('W Assumptions'!$D$80:$D$91,MONTH(C148),1)/AVERAGE('W Assumptions'!$D$80:$D$91)</f>
        <v>3431.09589041096</v>
      </c>
      <c r="I148" s="81" t="n">
        <f aca="false">H148*'W Sites'!$J$8/(1+'W Assumptions'!$D$39)*INDEX('W Assumptions'!$D$12:$F$12,1,D148)*INDEX('W Assumptions'!$D$33:$F$33,1,D148)</f>
        <v>199749.452054795</v>
      </c>
      <c r="J148" s="81" t="n">
        <f aca="false">H148*'W Sites'!$K$8/(1+'W Assumptions'!$D$39)*INDEX('W Assumptions'!$D$12:$F$12,1,D148)*INDEX('W Assumptions'!$D$33:$F$33,1,D148)</f>
        <v>24584.5479452055</v>
      </c>
      <c r="K148" s="81" t="n">
        <f aca="false">'W Sites'!$L$8*F148*IF(((YEAR(C148)-YEAR('W Sites'!$F$8))*12+MONTH(C148)-MONTH('W Sites'!$F$8))=0,'W Assumptions'!$D$62,IF(((YEAR(C148)-YEAR('W Sites'!$F$8))*12+MONTH(C148)-MONTH('W Sites'!$F$8))=1,'W Assumptions'!$D$63,1))*INDEX('W Assumptions'!$D$7:$F$7,1,D148)*INDEX('W Assumptions'!$D$32:$F$32,1,D148)</f>
        <v>22000</v>
      </c>
      <c r="L148" s="81" t="n">
        <f aca="false">SUM(I148:K148)</f>
        <v>246334</v>
      </c>
      <c r="M148" s="81" t="n">
        <f aca="false">'W Site Costs'!$I$8*F148*INDEX('W Assumptions'!$D$34:$F$34,1,D148)*INDEX('W Assumptions'!$D$22:$F$22,1,D148)</f>
        <v>50427.3</v>
      </c>
      <c r="N148" s="81" t="n">
        <f aca="false">'W Site Costs'!$J$8*F148*INDEX('W Assumptions'!$D$35:$F$35,1,D148)*INDEX('W Assumptions'!$D$22:$F$22,1,D148)</f>
        <v>36400</v>
      </c>
      <c r="O148" s="81" t="n">
        <f aca="false">L148*'W Site Costs'!$K$8</f>
        <v>0</v>
      </c>
      <c r="P148" s="81" t="n">
        <f aca="false">SUM('W Site Costs'!$L$8:$Q$8)*F148*INDEX('W Assumptions'!$D$35:$F$35,1,D148)*INDEX('W Assumptions'!$D$22:$F$22,1,D148)</f>
        <v>20280</v>
      </c>
      <c r="Q148" s="81" t="n">
        <f aca="false">L148*'W Site Costs'!$R$8*INDEX('W Assumptions'!$D$17:$F$17,1,D148)</f>
        <v>19706.72</v>
      </c>
      <c r="R148" s="112" t="n">
        <f aca="false">L148*'W Sites'!$M$8</f>
        <v>0</v>
      </c>
      <c r="S148" s="81" t="n">
        <f aca="false">SUM(M148:R148)</f>
        <v>126814.02</v>
      </c>
      <c r="T148" s="81" t="n">
        <f aca="false">L148-S148</f>
        <v>119519.98</v>
      </c>
      <c r="U148" s="81" t="n">
        <f aca="false">IF(C148='W Budget &amp; Owners'!$I$8,'W Budget &amp; Owners'!$F$8*'W Sites'!$G$8,0)</f>
        <v>0</v>
      </c>
      <c r="V148" s="81" t="n">
        <f aca="false">'W Sites'!$G$8*'W Budget &amp; Owners'!$E$8*INDEX('W Assumptions'!$D$27:$F$27,1,D148)*(IF(C148='W Budget &amp; Owners'!$I$8,'W Assumptions'!$D$65,0)+IF(C148=DATE(YEAR('W Sites'!$F$8),MONTH('W Sites'!$F$8),1),1-'W Assumptions'!$D$65,0))+'W Sites'!$G$8*'W Budget &amp; Owners'!$E$8*IF(C148=DATE(2027,9,1),'W Assumptions'!$D$67,IF(C148=DATE(2028,9,1),'W Assumptions'!$D$69,0))</f>
        <v>0</v>
      </c>
      <c r="W148" s="81" t="n">
        <f aca="false">IF(((YEAR(C148)-YEAR('W Sites'!$F$8))*12+MONTH(C148)-MONTH('W Sites'!$F$8))&lt;'W Budget &amp; Owners'!$H$8,'W Budget &amp; Owners'!$E$8/'W Budget &amp; Owners'!$H$8*F148,0)+IF(C148&gt;=DATE(2027,9,1),'W Budget &amp; Owners'!$E$8*'W Assumptions'!$D$67/'W Budget &amp; Owners'!$H$8*F148,0)+IF(C148&gt;=DATE(2028,9,1),'W Budget &amp; Owners'!$E$8*'W Assumptions'!$D$69/'W Budget &amp; Owners'!$H$8*F148,0)</f>
        <v>10200</v>
      </c>
      <c r="X148" s="81" t="n">
        <f aca="false">IF(C148='W Budget &amp; Owners'!$I$8,'W Budget &amp; Owners'!$G$8*'W Sites'!$G$8,0)</f>
        <v>0</v>
      </c>
      <c r="Y148" s="112" t="n">
        <f aca="false">IF(SUM($G$146:$G$155)=0,0,'W Fees &amp; KPI'!$Q$20*G148/SUM($G$146:$G$155))</f>
        <v>3544.96175344203</v>
      </c>
      <c r="Z148" s="119" t="n">
        <f aca="false">IF(SUM($G$146:$G$155)=0,0,SUM('W Fees &amp; KPI'!$J$20,'W Fees &amp; KPI'!$M$20)*G148/SUM($G$146:$G$155))</f>
        <v>4611.25</v>
      </c>
      <c r="AA148" s="117" t="n">
        <f aca="false">T148-U148-Z148-Y148</f>
        <v>111363.768246558</v>
      </c>
      <c r="AB148" s="119" t="n">
        <f aca="false">IF('W Fees &amp; KPI'!$D$20=0,0,T148-U148-Z148)</f>
        <v>114908.73</v>
      </c>
    </row>
    <row r="149" customFormat="false" ht="21" hidden="false" customHeight="true" outlineLevel="0" collapsed="false">
      <c r="C149" s="144" t="n">
        <f aca="false">46692</f>
        <v>46692</v>
      </c>
      <c r="D149" s="81" t="n">
        <f aca="false">2</f>
        <v>2</v>
      </c>
      <c r="E149" s="81" t="str">
        <f aca="false">'W Sites'!C9</f>
        <v>S04</v>
      </c>
      <c r="F149" s="145" t="n">
        <f aca="false">'W Sites'!$G$9*MAX(0,EOMONTH(C149,0)-MAX(C149,'W Sites'!$F$9)+1)/DAY(EOMONTH(C149,0))</f>
        <v>1</v>
      </c>
      <c r="G149" s="145" t="n">
        <f aca="false">'W Sites'!$G$9*MAX(0,EOMONTH(C149,0)-MAX(C149,'W Sites'!$F$9,'W Assumptions'!$D$58)+1)/DAY(EOMONTH(C149,0))</f>
        <v>1</v>
      </c>
      <c r="H149" s="81" t="n">
        <f aca="false">'W Sites'!$H$9*F149*'W Sites'!$I$9*IF(((YEAR(C149)-YEAR('W Sites'!$F$9))*12+MONTH(C149)-MONTH('W Sites'!$F$9))=0,'W Assumptions'!$D$62,IF(((YEAR(C149)-YEAR('W Sites'!$F$9))*12+MONTH(C149)-MONTH('W Sites'!$F$9))=1,'W Assumptions'!$D$63,1))*INDEX('W Assumptions'!$D$7:$F$7,1,D149)*INDEX('W Assumptions'!$D$32:$F$32,1,D149)*INDEX('W Assumptions'!$D$80:$D$91,MONTH(C149),1)/AVERAGE('W Assumptions'!$D$80:$D$91)</f>
        <v>2415.79861111111</v>
      </c>
      <c r="I149" s="81" t="n">
        <f aca="false">H149*'W Sites'!$J$9/(1+'W Assumptions'!$D$39)*INDEX('W Assumptions'!$D$12:$F$12,1,D149)*INDEX('W Assumptions'!$D$33:$F$33,1,D149)</f>
        <v>140641.493055556</v>
      </c>
      <c r="J149" s="81" t="n">
        <f aca="false">H149*'W Sites'!$K$9/(1+'W Assumptions'!$D$39)*INDEX('W Assumptions'!$D$12:$F$12,1,D149)*INDEX('W Assumptions'!$D$33:$F$33,1,D149)</f>
        <v>15146.0069444444</v>
      </c>
      <c r="K149" s="81" t="n">
        <f aca="false">'W Sites'!$L$9*F149*IF(((YEAR(C149)-YEAR('W Sites'!$F$9))*12+MONTH(C149)-MONTH('W Sites'!$F$9))=0,'W Assumptions'!$D$62,IF(((YEAR(C149)-YEAR('W Sites'!$F$9))*12+MONTH(C149)-MONTH('W Sites'!$F$9))=1,'W Assumptions'!$D$63,1))*INDEX('W Assumptions'!$D$7:$F$7,1,D149)*INDEX('W Assumptions'!$D$32:$F$32,1,D149)</f>
        <v>16500</v>
      </c>
      <c r="L149" s="81" t="n">
        <f aca="false">SUM(I149:K149)</f>
        <v>172287.5</v>
      </c>
      <c r="M149" s="81" t="n">
        <f aca="false">'W Site Costs'!$I$9*F149*INDEX('W Assumptions'!$D$34:$F$34,1,D149)*INDEX('W Assumptions'!$D$22:$F$22,1,D149)</f>
        <v>39648</v>
      </c>
      <c r="N149" s="81" t="n">
        <f aca="false">'W Site Costs'!$J$9*F149*INDEX('W Assumptions'!$D$35:$F$35,1,D149)*INDEX('W Assumptions'!$D$22:$F$22,1,D149)</f>
        <v>22880</v>
      </c>
      <c r="O149" s="81" t="n">
        <f aca="false">L149*'W Site Costs'!$K$9</f>
        <v>0</v>
      </c>
      <c r="P149" s="81" t="n">
        <f aca="false">SUM('W Site Costs'!$L$9:$Q$9)*F149*INDEX('W Assumptions'!$D$35:$F$35,1,D149)*INDEX('W Assumptions'!$D$22:$F$22,1,D149)</f>
        <v>16120</v>
      </c>
      <c r="Q149" s="81" t="n">
        <f aca="false">L149*'W Site Costs'!$R$9*INDEX('W Assumptions'!$D$17:$F$17,1,D149)</f>
        <v>13783</v>
      </c>
      <c r="R149" s="112" t="n">
        <f aca="false">L149*'W Sites'!$M$9</f>
        <v>0</v>
      </c>
      <c r="S149" s="81" t="n">
        <f aca="false">SUM(M149:R149)</f>
        <v>92431</v>
      </c>
      <c r="T149" s="81" t="n">
        <f aca="false">L149-S149</f>
        <v>79856.5000000001</v>
      </c>
      <c r="U149" s="81" t="n">
        <f aca="false">IF(C149='W Budget &amp; Owners'!$I$9,'W Budget &amp; Owners'!$F$9*'W Sites'!$G$9,0)</f>
        <v>0</v>
      </c>
      <c r="V149" s="81" t="n">
        <f aca="false">'W Sites'!$G$9*'W Budget &amp; Owners'!$E$9*INDEX('W Assumptions'!$D$27:$F$27,1,D149)*(IF(C149='W Budget &amp; Owners'!$I$9,'W Assumptions'!$D$65,0)+IF(C149=DATE(YEAR('W Sites'!$F$9),MONTH('W Sites'!$F$9),1),1-'W Assumptions'!$D$65,0))+'W Sites'!$G$9*'W Budget &amp; Owners'!$E$9*IF(C149=DATE(2027,9,1),'W Assumptions'!$D$67,IF(C149=DATE(2028,9,1),'W Assumptions'!$D$69,0))</f>
        <v>0</v>
      </c>
      <c r="W149" s="81" t="n">
        <f aca="false">IF(((YEAR(C149)-YEAR('W Sites'!$F$9))*12+MONTH(C149)-MONTH('W Sites'!$F$9))&lt;'W Budget &amp; Owners'!$H$9,'W Budget &amp; Owners'!$E$9/'W Budget &amp; Owners'!$H$9*F149,0)+IF(C149&gt;=DATE(2027,9,1),'W Budget &amp; Owners'!$E$9*'W Assumptions'!$D$67/'W Budget &amp; Owners'!$H$9*F149,0)+IF(C149&gt;=DATE(2028,9,1),'W Budget &amp; Owners'!$E$9*'W Assumptions'!$D$69/'W Budget &amp; Owners'!$H$9*F149,0)</f>
        <v>8500</v>
      </c>
      <c r="X149" s="81" t="n">
        <f aca="false">IF(C149='W Budget &amp; Owners'!$I$9,'W Budget &amp; Owners'!$G$9*'W Sites'!$G$9,0)</f>
        <v>0</v>
      </c>
      <c r="Y149" s="112" t="n">
        <f aca="false">IF(SUM($G$146:$G$155)=0,0,'W Fees &amp; KPI'!$Q$20*G149/SUM($G$146:$G$155))</f>
        <v>3544.96175344203</v>
      </c>
      <c r="Z149" s="119" t="n">
        <f aca="false">IF(SUM($G$146:$G$155)=0,0,SUM('W Fees &amp; KPI'!$J$20,'W Fees &amp; KPI'!$M$20)*G149/SUM($G$146:$G$155))</f>
        <v>4611.25</v>
      </c>
      <c r="AA149" s="117" t="n">
        <f aca="false">T149-U149-Z149-Y149</f>
        <v>71700.288246558</v>
      </c>
      <c r="AB149" s="119" t="n">
        <f aca="false">IF('W Fees &amp; KPI'!$D$20=0,0,T149-U149-Z149)</f>
        <v>75245.2500000001</v>
      </c>
    </row>
    <row r="150" customFormat="false" ht="21" hidden="false" customHeight="true" outlineLevel="0" collapsed="false">
      <c r="C150" s="144" t="n">
        <f aca="false">46692</f>
        <v>46692</v>
      </c>
      <c r="D150" s="81" t="n">
        <f aca="false">2</f>
        <v>2</v>
      </c>
      <c r="E150" s="81" t="str">
        <f aca="false">'W Sites'!C10</f>
        <v>S05</v>
      </c>
      <c r="F150" s="145" t="n">
        <f aca="false">'W Sites'!$G$10*MAX(0,EOMONTH(C150,0)-MAX(C150,'W Sites'!$F$10)+1)/DAY(EOMONTH(C150,0))</f>
        <v>1</v>
      </c>
      <c r="G150" s="145" t="n">
        <f aca="false">'W Sites'!$G$10*MAX(0,EOMONTH(C150,0)-MAX(C150,'W Sites'!$F$10,'W Assumptions'!$D$58)+1)/DAY(EOMONTH(C150,0))</f>
        <v>1</v>
      </c>
      <c r="H150" s="81" t="n">
        <f aca="false">'W Sites'!$H$10*F150*'W Sites'!$I$10*IF(((YEAR(C150)-YEAR('W Sites'!$F$10))*12+MONTH(C150)-MONTH('W Sites'!$F$10))=0,'W Assumptions'!$D$62,IF(((YEAR(C150)-YEAR('W Sites'!$F$10))*12+MONTH(C150)-MONTH('W Sites'!$F$10))=1,'W Assumptions'!$D$63,1))*INDEX('W Assumptions'!$D$7:$F$7,1,D150)*INDEX('W Assumptions'!$D$32:$F$32,1,D150)*INDEX('W Assumptions'!$D$80:$D$91,MONTH(C150),1)/AVERAGE('W Assumptions'!$D$80:$D$91)</f>
        <v>3087.98630136986</v>
      </c>
      <c r="I150" s="81" t="n">
        <f aca="false">H150*'W Sites'!$J$10/(1+'W Assumptions'!$D$39)*INDEX('W Assumptions'!$D$12:$F$12,1,D150)*INDEX('W Assumptions'!$D$33:$F$33,1,D150)</f>
        <v>179774.506849315</v>
      </c>
      <c r="J150" s="81" t="n">
        <f aca="false">H150*'W Sites'!$K$10/(1+'W Assumptions'!$D$39)*INDEX('W Assumptions'!$D$12:$F$12,1,D150)*INDEX('W Assumptions'!$D$33:$F$33,1,D150)</f>
        <v>22126.0931506849</v>
      </c>
      <c r="K150" s="81" t="n">
        <f aca="false">'W Sites'!$L$10*F150*IF(((YEAR(C150)-YEAR('W Sites'!$F$10))*12+MONTH(C150)-MONTH('W Sites'!$F$10))=0,'W Assumptions'!$D$62,IF(((YEAR(C150)-YEAR('W Sites'!$F$10))*12+MONTH(C150)-MONTH('W Sites'!$F$10))=1,'W Assumptions'!$D$63,1))*INDEX('W Assumptions'!$D$7:$F$7,1,D150)*INDEX('W Assumptions'!$D$32:$F$32,1,D150)</f>
        <v>19800</v>
      </c>
      <c r="L150" s="81" t="n">
        <f aca="false">SUM(I150:K150)</f>
        <v>221700.6</v>
      </c>
      <c r="M150" s="81" t="n">
        <f aca="false">'W Site Costs'!$I$10*F150*INDEX('W Assumptions'!$D$34:$F$34,1,D150)*INDEX('W Assumptions'!$D$22:$F$22,1,D150)</f>
        <v>50427.3</v>
      </c>
      <c r="N150" s="81" t="n">
        <f aca="false">'W Site Costs'!$J$10*F150*INDEX('W Assumptions'!$D$35:$F$35,1,D150)*INDEX('W Assumptions'!$D$22:$F$22,1,D150)</f>
        <v>31200</v>
      </c>
      <c r="O150" s="81" t="n">
        <f aca="false">L150*'W Site Costs'!$K$10</f>
        <v>0</v>
      </c>
      <c r="P150" s="81" t="n">
        <f aca="false">SUM('W Site Costs'!$L$10:$Q$10)*F150*INDEX('W Assumptions'!$D$35:$F$35,1,D150)*INDEX('W Assumptions'!$D$22:$F$22,1,D150)</f>
        <v>19760</v>
      </c>
      <c r="Q150" s="81" t="n">
        <f aca="false">L150*'W Site Costs'!$R$10*INDEX('W Assumptions'!$D$17:$F$17,1,D150)</f>
        <v>17736.048</v>
      </c>
      <c r="R150" s="112" t="n">
        <f aca="false">L150*'W Sites'!$M$10</f>
        <v>0</v>
      </c>
      <c r="S150" s="81" t="n">
        <f aca="false">SUM(M150:R150)</f>
        <v>119123.348</v>
      </c>
      <c r="T150" s="81" t="n">
        <f aca="false">L150-S150</f>
        <v>102577.252</v>
      </c>
      <c r="U150" s="81" t="n">
        <f aca="false">IF(C150='W Budget &amp; Owners'!$I$10,'W Budget &amp; Owners'!$F$10*'W Sites'!$G$10,0)</f>
        <v>0</v>
      </c>
      <c r="V150" s="81" t="n">
        <f aca="false">'W Sites'!$G$10*'W Budget &amp; Owners'!$E$10*INDEX('W Assumptions'!$D$27:$F$27,1,D150)*(IF(C150='W Budget &amp; Owners'!$I$10,'W Assumptions'!$D$65,0)+IF(C150=DATE(YEAR('W Sites'!$F$10),MONTH('W Sites'!$F$10),1),1-'W Assumptions'!$D$65,0))+'W Sites'!$G$10*'W Budget &amp; Owners'!$E$10*IF(C150=DATE(2027,9,1),'W Assumptions'!$D$67,IF(C150=DATE(2028,9,1),'W Assumptions'!$D$69,0))</f>
        <v>0</v>
      </c>
      <c r="W150" s="81" t="n">
        <f aca="false">IF(((YEAR(C150)-YEAR('W Sites'!$F$10))*12+MONTH(C150)-MONTH('W Sites'!$F$10))&lt;'W Budget &amp; Owners'!$H$10,'W Budget &amp; Owners'!$E$10/'W Budget &amp; Owners'!$H$10*F150,0)+IF(C150&gt;=DATE(2027,9,1),'W Budget &amp; Owners'!$E$10*'W Assumptions'!$D$67/'W Budget &amp; Owners'!$H$10*F150,0)+IF(C150&gt;=DATE(2028,9,1),'W Budget &amp; Owners'!$E$10*'W Assumptions'!$D$69/'W Budget &amp; Owners'!$H$10*F150,0)</f>
        <v>12750</v>
      </c>
      <c r="X150" s="81" t="n">
        <f aca="false">IF(C150='W Budget &amp; Owners'!$I$10,'W Budget &amp; Owners'!$G$10*'W Sites'!$G$10,0)</f>
        <v>0</v>
      </c>
      <c r="Y150" s="112" t="n">
        <f aca="false">IF(SUM($G$146:$G$155)=0,0,'W Fees &amp; KPI'!$Q$20*G150/SUM($G$146:$G$155))</f>
        <v>3544.96175344203</v>
      </c>
      <c r="Z150" s="119" t="n">
        <f aca="false">IF(SUM($G$146:$G$155)=0,0,SUM('W Fees &amp; KPI'!$J$20,'W Fees &amp; KPI'!$M$20)*G150/SUM($G$146:$G$155))</f>
        <v>4611.25</v>
      </c>
      <c r="AA150" s="117" t="n">
        <f aca="false">T150-U150-Z150-Y150</f>
        <v>94421.040246558</v>
      </c>
      <c r="AB150" s="119" t="n">
        <f aca="false">IF('W Fees &amp; KPI'!$D$20=0,0,T150-U150-Z150)</f>
        <v>97966.0020000001</v>
      </c>
    </row>
    <row r="151" customFormat="false" ht="21" hidden="false" customHeight="true" outlineLevel="0" collapsed="false">
      <c r="C151" s="144" t="n">
        <f aca="false">46692</f>
        <v>46692</v>
      </c>
      <c r="D151" s="81" t="n">
        <f aca="false">2</f>
        <v>2</v>
      </c>
      <c r="E151" s="81" t="str">
        <f aca="false">'W Sites'!C11</f>
        <v>S06</v>
      </c>
      <c r="F151" s="145" t="n">
        <f aca="false">'W Sites'!$G$11*MAX(0,EOMONTH(C151,0)-MAX(C151,'W Sites'!$F$11)+1)/DAY(EOMONTH(C151,0))</f>
        <v>1</v>
      </c>
      <c r="G151" s="145" t="n">
        <f aca="false">'W Sites'!$G$11*MAX(0,EOMONTH(C151,0)-MAX(C151,'W Sites'!$F$11,'W Assumptions'!$D$58)+1)/DAY(EOMONTH(C151,0))</f>
        <v>1</v>
      </c>
      <c r="H151" s="81" t="n">
        <f aca="false">'W Sites'!$H$11*F151*'W Sites'!$I$11*IF(((YEAR(C151)-YEAR('W Sites'!$F$11))*12+MONTH(C151)-MONTH('W Sites'!$F$11))=0,'W Assumptions'!$D$62,IF(((YEAR(C151)-YEAR('W Sites'!$F$11))*12+MONTH(C151)-MONTH('W Sites'!$F$11))=1,'W Assumptions'!$D$63,1))*INDEX('W Assumptions'!$D$7:$F$7,1,D151)*INDEX('W Assumptions'!$D$32:$F$32,1,D151)*INDEX('W Assumptions'!$D$80:$D$91,MONTH(C151),1)/AVERAGE('W Assumptions'!$D$80:$D$91)</f>
        <v>943.8</v>
      </c>
      <c r="I151" s="81" t="n">
        <f aca="false">H151*'W Sites'!$J$11/(1+'W Assumptions'!$D$39)*INDEX('W Assumptions'!$D$12:$F$12,1,D151)*INDEX('W Assumptions'!$D$33:$F$33,1,D151)</f>
        <v>50718.9913043478</v>
      </c>
      <c r="J151" s="81" t="n">
        <f aca="false">H151*'W Sites'!$K$11/(1+'W Assumptions'!$D$39)*INDEX('W Assumptions'!$D$12:$F$12,1,D151)*INDEX('W Assumptions'!$D$33:$F$33,1,D151)</f>
        <v>2535.94956521739</v>
      </c>
      <c r="K151" s="81" t="n">
        <f aca="false">'W Sites'!$L$11*F151*IF(((YEAR(C151)-YEAR('W Sites'!$F$11))*12+MONTH(C151)-MONTH('W Sites'!$F$11))=0,'W Assumptions'!$D$62,IF(((YEAR(C151)-YEAR('W Sites'!$F$11))*12+MONTH(C151)-MONTH('W Sites'!$F$11))=1,'W Assumptions'!$D$63,1))*INDEX('W Assumptions'!$D$7:$F$7,1,D151)*INDEX('W Assumptions'!$D$32:$F$32,1,D151)</f>
        <v>22000</v>
      </c>
      <c r="L151" s="81" t="n">
        <f aca="false">SUM(I151:K151)</f>
        <v>75254.9408695652</v>
      </c>
      <c r="M151" s="81" t="n">
        <f aca="false">'W Site Costs'!$I$11*F151*INDEX('W Assumptions'!$D$34:$F$34,1,D151)*INDEX('W Assumptions'!$D$22:$F$22,1,D151)</f>
        <v>25027.8</v>
      </c>
      <c r="N151" s="81" t="n">
        <f aca="false">'W Site Costs'!$J$11*F151*INDEX('W Assumptions'!$D$35:$F$35,1,D151)*INDEX('W Assumptions'!$D$22:$F$22,1,D151)</f>
        <v>5200</v>
      </c>
      <c r="O151" s="81" t="n">
        <f aca="false">L151*'W Site Costs'!$K$11</f>
        <v>0</v>
      </c>
      <c r="P151" s="81" t="n">
        <f aca="false">SUM('W Site Costs'!$L$11:$Q$11)*F151*INDEX('W Assumptions'!$D$35:$F$35,1,D151)*INDEX('W Assumptions'!$D$22:$F$22,1,D151)</f>
        <v>8320</v>
      </c>
      <c r="Q151" s="81" t="n">
        <f aca="false">L151*'W Site Costs'!$R$11*INDEX('W Assumptions'!$D$17:$F$17,1,D151)</f>
        <v>7525.49408695652</v>
      </c>
      <c r="R151" s="112" t="n">
        <f aca="false">L151*'W Sites'!$M$11</f>
        <v>0</v>
      </c>
      <c r="S151" s="81" t="n">
        <f aca="false">SUM(M151:R151)</f>
        <v>46073.2940869565</v>
      </c>
      <c r="T151" s="81" t="n">
        <f aca="false">L151-S151</f>
        <v>29181.6467826087</v>
      </c>
      <c r="U151" s="81" t="n">
        <f aca="false">IF(C151='W Budget &amp; Owners'!$I$11,'W Budget &amp; Owners'!$F$11*'W Sites'!$G$11,0)</f>
        <v>0</v>
      </c>
      <c r="V151" s="81" t="n">
        <f aca="false">'W Sites'!$G$11*'W Budget &amp; Owners'!$E$11*INDEX('W Assumptions'!$D$27:$F$27,1,D151)*(IF(C151='W Budget &amp; Owners'!$I$11,'W Assumptions'!$D$65,0)+IF(C151=DATE(YEAR('W Sites'!$F$11),MONTH('W Sites'!$F$11),1),1-'W Assumptions'!$D$65,0))+'W Sites'!$G$11*'W Budget &amp; Owners'!$E$11*IF(C151=DATE(2027,9,1),'W Assumptions'!$D$67,IF(C151=DATE(2028,9,1),'W Assumptions'!$D$69,0))</f>
        <v>0</v>
      </c>
      <c r="W151" s="81" t="n">
        <f aca="false">IF(((YEAR(C151)-YEAR('W Sites'!$F$11))*12+MONTH(C151)-MONTH('W Sites'!$F$11))&lt;'W Budget &amp; Owners'!$H$11,'W Budget &amp; Owners'!$E$11/'W Budget &amp; Owners'!$H$11*F151,0)+IF(C151&gt;=DATE(2027,9,1),'W Budget &amp; Owners'!$E$11*'W Assumptions'!$D$67/'W Budget &amp; Owners'!$H$11*F151,0)+IF(C151&gt;=DATE(2028,9,1),'W Budget &amp; Owners'!$E$11*'W Assumptions'!$D$69/'W Budget &amp; Owners'!$H$11*F151,0)</f>
        <v>2550</v>
      </c>
      <c r="X151" s="81" t="n">
        <f aca="false">IF(C151='W Budget &amp; Owners'!$I$11,'W Budget &amp; Owners'!$G$11*'W Sites'!$G$11,0)</f>
        <v>0</v>
      </c>
      <c r="Y151" s="112" t="n">
        <f aca="false">IF(SUM($G$146:$G$155)=0,0,'W Fees &amp; KPI'!$Q$20*G151/SUM($G$146:$G$155))</f>
        <v>3544.96175344203</v>
      </c>
      <c r="Z151" s="119" t="n">
        <f aca="false">IF(SUM($G$146:$G$155)=0,0,SUM('W Fees &amp; KPI'!$J$20,'W Fees &amp; KPI'!$M$20)*G151/SUM($G$146:$G$155))</f>
        <v>4611.25</v>
      </c>
      <c r="AA151" s="117" t="n">
        <f aca="false">T151-U151-Z151-Y151</f>
        <v>21025.4350291667</v>
      </c>
      <c r="AB151" s="119" t="n">
        <f aca="false">IF('W Fees &amp; KPI'!$D$20=0,0,T151-U151-Z151)</f>
        <v>24570.3967826087</v>
      </c>
    </row>
    <row r="152" customFormat="false" ht="21" hidden="false" customHeight="true" outlineLevel="0" collapsed="false">
      <c r="C152" s="144" t="n">
        <f aca="false">46692</f>
        <v>46692</v>
      </c>
      <c r="D152" s="81" t="n">
        <f aca="false">2</f>
        <v>2</v>
      </c>
      <c r="E152" s="81" t="str">
        <f aca="false">'W Sites'!C12</f>
        <v>S07</v>
      </c>
      <c r="F152" s="145" t="n">
        <f aca="false">'W Sites'!$G$12*MAX(0,EOMONTH(C152,0)-MAX(C152,'W Sites'!$F$12)+1)/DAY(EOMONTH(C152,0))</f>
        <v>1</v>
      </c>
      <c r="G152" s="145" t="n">
        <f aca="false">'W Sites'!$G$12*MAX(0,EOMONTH(C152,0)-MAX(C152,'W Sites'!$F$12,'W Assumptions'!$D$58)+1)/DAY(EOMONTH(C152,0))</f>
        <v>1</v>
      </c>
      <c r="H152" s="81" t="n">
        <f aca="false">'W Sites'!$H$12*F152*'W Sites'!$I$12*IF(((YEAR(C152)-YEAR('W Sites'!$F$12))*12+MONTH(C152)-MONTH('W Sites'!$F$12))=0,'W Assumptions'!$D$62,IF(((YEAR(C152)-YEAR('W Sites'!$F$12))*12+MONTH(C152)-MONTH('W Sites'!$F$12))=1,'W Assumptions'!$D$63,1))*INDEX('W Assumptions'!$D$7:$F$7,1,D152)*INDEX('W Assumptions'!$D$32:$F$32,1,D152)*INDEX('W Assumptions'!$D$80:$D$91,MONTH(C152),1)/AVERAGE('W Assumptions'!$D$80:$D$91)</f>
        <v>1101.1</v>
      </c>
      <c r="I152" s="81" t="n">
        <f aca="false">H152*'W Sites'!$J$12/(1+'W Assumptions'!$D$39)*INDEX('W Assumptions'!$D$12:$F$12,1,D152)*INDEX('W Assumptions'!$D$33:$F$33,1,D152)</f>
        <v>59172.1565217392</v>
      </c>
      <c r="J152" s="81" t="n">
        <f aca="false">H152*'W Sites'!$K$12/(1+'W Assumptions'!$D$39)*INDEX('W Assumptions'!$D$12:$F$12,1,D152)*INDEX('W Assumptions'!$D$33:$F$33,1,D152)</f>
        <v>2958.60782608696</v>
      </c>
      <c r="K152" s="81" t="n">
        <f aca="false">'W Sites'!$L$12*F152*IF(((YEAR(C152)-YEAR('W Sites'!$F$12))*12+MONTH(C152)-MONTH('W Sites'!$F$12))=0,'W Assumptions'!$D$62,IF(((YEAR(C152)-YEAR('W Sites'!$F$12))*12+MONTH(C152)-MONTH('W Sites'!$F$12))=1,'W Assumptions'!$D$63,1))*INDEX('W Assumptions'!$D$7:$F$7,1,D152)*INDEX('W Assumptions'!$D$32:$F$32,1,D152)</f>
        <v>19800</v>
      </c>
      <c r="L152" s="81" t="n">
        <f aca="false">SUM(I152:K152)</f>
        <v>81930.7643478261</v>
      </c>
      <c r="M152" s="81" t="n">
        <f aca="false">'W Site Costs'!$I$12*F152*INDEX('W Assumptions'!$D$34:$F$34,1,D152)*INDEX('W Assumptions'!$D$22:$F$22,1,D152)</f>
        <v>25027.8</v>
      </c>
      <c r="N152" s="81" t="n">
        <f aca="false">'W Site Costs'!$J$12*F152*INDEX('W Assumptions'!$D$35:$F$35,1,D152)*INDEX('W Assumptions'!$D$22:$F$22,1,D152)</f>
        <v>8320</v>
      </c>
      <c r="O152" s="81" t="n">
        <f aca="false">L152*'W Site Costs'!$K$12</f>
        <v>0</v>
      </c>
      <c r="P152" s="81" t="n">
        <f aca="false">SUM('W Site Costs'!$L$12:$Q$12)*F152*INDEX('W Assumptions'!$D$35:$F$35,1,D152)*INDEX('W Assumptions'!$D$22:$F$22,1,D152)</f>
        <v>8840</v>
      </c>
      <c r="Q152" s="81" t="n">
        <f aca="false">L152*'W Site Costs'!$R$12*INDEX('W Assumptions'!$D$17:$F$17,1,D152)</f>
        <v>8193.07643478261</v>
      </c>
      <c r="R152" s="112" t="n">
        <f aca="false">L152*'W Sites'!$M$12</f>
        <v>0</v>
      </c>
      <c r="S152" s="81" t="n">
        <f aca="false">SUM(M152:R152)</f>
        <v>50380.8764347826</v>
      </c>
      <c r="T152" s="81" t="n">
        <f aca="false">L152-S152</f>
        <v>31549.8879130435</v>
      </c>
      <c r="U152" s="81" t="n">
        <f aca="false">IF(C152='W Budget &amp; Owners'!$I$12,'W Budget &amp; Owners'!$F$12*'W Sites'!$G$12,0)</f>
        <v>0</v>
      </c>
      <c r="V152" s="81" t="n">
        <f aca="false">'W Sites'!$G$12*'W Budget &amp; Owners'!$E$12*INDEX('W Assumptions'!$D$27:$F$27,1,D152)*(IF(C152='W Budget &amp; Owners'!$I$12,'W Assumptions'!$D$65,0)+IF(C152=DATE(YEAR('W Sites'!$F$12),MONTH('W Sites'!$F$12),1),1-'W Assumptions'!$D$65,0))+'W Sites'!$G$12*'W Budget &amp; Owners'!$E$12*IF(C152=DATE(2027,9,1),'W Assumptions'!$D$67,IF(C152=DATE(2028,9,1),'W Assumptions'!$D$69,0))</f>
        <v>0</v>
      </c>
      <c r="W152" s="81" t="n">
        <f aca="false">IF(((YEAR(C152)-YEAR('W Sites'!$F$12))*12+MONTH(C152)-MONTH('W Sites'!$F$12))&lt;'W Budget &amp; Owners'!$H$12,'W Budget &amp; Owners'!$E$12/'W Budget &amp; Owners'!$H$12*F152,0)+IF(C152&gt;=DATE(2027,9,1),'W Budget &amp; Owners'!$E$12*'W Assumptions'!$D$67/'W Budget &amp; Owners'!$H$12*F152,0)+IF(C152&gt;=DATE(2028,9,1),'W Budget &amp; Owners'!$E$12*'W Assumptions'!$D$69/'W Budget &amp; Owners'!$H$12*F152,0)</f>
        <v>7650</v>
      </c>
      <c r="X152" s="81" t="n">
        <f aca="false">IF(C152='W Budget &amp; Owners'!$I$12,'W Budget &amp; Owners'!$G$12*'W Sites'!$G$12,0)</f>
        <v>0</v>
      </c>
      <c r="Y152" s="112" t="n">
        <f aca="false">IF(SUM($G$146:$G$155)=0,0,'W Fees &amp; KPI'!$Q$20*G152/SUM($G$146:$G$155))</f>
        <v>3544.96175344203</v>
      </c>
      <c r="Z152" s="119" t="n">
        <f aca="false">IF(SUM($G$146:$G$155)=0,0,SUM('W Fees &amp; KPI'!$J$20,'W Fees &amp; KPI'!$M$20)*G152/SUM($G$146:$G$155))</f>
        <v>4611.25</v>
      </c>
      <c r="AA152" s="117" t="n">
        <f aca="false">T152-U152-Z152-Y152</f>
        <v>23393.6761596015</v>
      </c>
      <c r="AB152" s="119" t="n">
        <f aca="false">IF('W Fees &amp; KPI'!$D$20=0,0,T152-U152-Z152)</f>
        <v>26938.6379130435</v>
      </c>
    </row>
    <row r="153" customFormat="false" ht="21" hidden="false" customHeight="true" outlineLevel="0" collapsed="false">
      <c r="C153" s="144" t="n">
        <f aca="false">46692</f>
        <v>46692</v>
      </c>
      <c r="D153" s="81" t="n">
        <f aca="false">2</f>
        <v>2</v>
      </c>
      <c r="E153" s="81" t="str">
        <f aca="false">'W Sites'!C13</f>
        <v>S08</v>
      </c>
      <c r="F153" s="145" t="n">
        <f aca="false">'W Sites'!$G$13*MAX(0,EOMONTH(C153,0)-MAX(C153,'W Sites'!$F$13)+1)/DAY(EOMONTH(C153,0))</f>
        <v>1</v>
      </c>
      <c r="G153" s="145" t="n">
        <f aca="false">'W Sites'!$G$13*MAX(0,EOMONTH(C153,0)-MAX(C153,'W Sites'!$F$13,'W Assumptions'!$D$58)+1)/DAY(EOMONTH(C153,0))</f>
        <v>1</v>
      </c>
      <c r="H153" s="81" t="n">
        <f aca="false">'W Sites'!$H$13*F153*'W Sites'!$I$13*IF(((YEAR(C153)-YEAR('W Sites'!$F$13))*12+MONTH(C153)-MONTH('W Sites'!$F$13))=0,'W Assumptions'!$D$62,IF(((YEAR(C153)-YEAR('W Sites'!$F$13))*12+MONTH(C153)-MONTH('W Sites'!$F$13))=1,'W Assumptions'!$D$63,1))*INDEX('W Assumptions'!$D$7:$F$7,1,D153)*INDEX('W Assumptions'!$D$32:$F$32,1,D153)*INDEX('W Assumptions'!$D$80:$D$91,MONTH(C153),1)/AVERAGE('W Assumptions'!$D$80:$D$91)</f>
        <v>4719</v>
      </c>
      <c r="I153" s="81" t="n">
        <f aca="false">H153*'W Sites'!$J$13/(1+'W Assumptions'!$D$39)*INDEX('W Assumptions'!$D$12:$F$12,1,D153)*INDEX('W Assumptions'!$D$33:$F$33,1,D153)</f>
        <v>169063.304347826</v>
      </c>
      <c r="J153" s="81" t="n">
        <f aca="false">H153*'W Sites'!$K$13/(1+'W Assumptions'!$D$39)*INDEX('W Assumptions'!$D$12:$F$12,1,D153)*INDEX('W Assumptions'!$D$33:$F$33,1,D153)</f>
        <v>21132.9130434783</v>
      </c>
      <c r="K153" s="81" t="n">
        <f aca="false">'W Sites'!$L$13*F153*IF(((YEAR(C153)-YEAR('W Sites'!$F$13))*12+MONTH(C153)-MONTH('W Sites'!$F$13))=0,'W Assumptions'!$D$62,IF(((YEAR(C153)-YEAR('W Sites'!$F$13))*12+MONTH(C153)-MONTH('W Sites'!$F$13))=1,'W Assumptions'!$D$63,1))*INDEX('W Assumptions'!$D$7:$F$7,1,D153)*INDEX('W Assumptions'!$D$32:$F$32,1,D153)</f>
        <v>16500</v>
      </c>
      <c r="L153" s="81" t="n">
        <f aca="false">SUM(I153:K153)</f>
        <v>206696.217391304</v>
      </c>
      <c r="M153" s="81" t="n">
        <f aca="false">'W Site Costs'!$I$13*F153*INDEX('W Assumptions'!$D$34:$F$34,1,D153)*INDEX('W Assumptions'!$D$22:$F$22,1,D153)</f>
        <v>56002.8</v>
      </c>
      <c r="N153" s="81" t="n">
        <f aca="false">'W Site Costs'!$J$13*F153*INDEX('W Assumptions'!$D$35:$F$35,1,D153)*INDEX('W Assumptions'!$D$22:$F$22,1,D153)</f>
        <v>0</v>
      </c>
      <c r="O153" s="81" t="n">
        <f aca="false">L153*'W Site Costs'!$K$13</f>
        <v>20669.6217391304</v>
      </c>
      <c r="P153" s="81" t="n">
        <f aca="false">SUM('W Site Costs'!$L$13:$Q$13)*F153*INDEX('W Assumptions'!$D$35:$F$35,1,D153)*INDEX('W Assumptions'!$D$22:$F$22,1,D153)</f>
        <v>26520</v>
      </c>
      <c r="Q153" s="81" t="n">
        <f aca="false">L153*'W Site Costs'!$R$13*INDEX('W Assumptions'!$D$17:$F$17,1,D153)</f>
        <v>16535.6973913044</v>
      </c>
      <c r="R153" s="112" t="n">
        <f aca="false">L153*'W Sites'!$M$13</f>
        <v>0</v>
      </c>
      <c r="S153" s="81" t="n">
        <f aca="false">SUM(M153:R153)</f>
        <v>119728.119130435</v>
      </c>
      <c r="T153" s="81" t="n">
        <f aca="false">L153-S153</f>
        <v>86968.0982608696</v>
      </c>
      <c r="U153" s="81" t="n">
        <f aca="false">IF(C153='W Budget &amp; Owners'!$I$13,'W Budget &amp; Owners'!$F$13*'W Sites'!$G$13,0)</f>
        <v>0</v>
      </c>
      <c r="V153" s="81" t="n">
        <f aca="false">'W Sites'!$G$13*'W Budget &amp; Owners'!$E$13*INDEX('W Assumptions'!$D$27:$F$27,1,D153)*(IF(C153='W Budget &amp; Owners'!$I$13,'W Assumptions'!$D$65,0)+IF(C153=DATE(YEAR('W Sites'!$F$13),MONTH('W Sites'!$F$13),1),1-'W Assumptions'!$D$65,0))+'W Sites'!$G$13*'W Budget &amp; Owners'!$E$13*IF(C153=DATE(2027,9,1),'W Assumptions'!$D$67,IF(C153=DATE(2028,9,1),'W Assumptions'!$D$69,0))</f>
        <v>0</v>
      </c>
      <c r="W153" s="81" t="n">
        <f aca="false">IF(((YEAR(C153)-YEAR('W Sites'!$F$13))*12+MONTH(C153)-MONTH('W Sites'!$F$13))&lt;'W Budget &amp; Owners'!$H$13,'W Budget &amp; Owners'!$E$13/'W Budget &amp; Owners'!$H$13*F153,0)+IF(C153&gt;=DATE(2027,9,1),'W Budget &amp; Owners'!$E$13*'W Assumptions'!$D$67/'W Budget &amp; Owners'!$H$13*F153,0)+IF(C153&gt;=DATE(2028,9,1),'W Budget &amp; Owners'!$E$13*'W Assumptions'!$D$69/'W Budget &amp; Owners'!$H$13*F153,0)</f>
        <v>20400</v>
      </c>
      <c r="X153" s="81" t="n">
        <f aca="false">IF(C153='W Budget &amp; Owners'!$I$13,'W Budget &amp; Owners'!$G$13*'W Sites'!$G$13,0)</f>
        <v>0</v>
      </c>
      <c r="Y153" s="112" t="n">
        <f aca="false">IF(SUM($G$146:$G$155)=0,0,'W Fees &amp; KPI'!$Q$20*G153/SUM($G$146:$G$155))</f>
        <v>3544.96175344203</v>
      </c>
      <c r="Z153" s="119" t="n">
        <f aca="false">IF(SUM($G$146:$G$155)=0,0,SUM('W Fees &amp; KPI'!$J$20,'W Fees &amp; KPI'!$M$20)*G153/SUM($G$146:$G$155))</f>
        <v>4611.25</v>
      </c>
      <c r="AA153" s="117" t="n">
        <f aca="false">T153-U153-Z153-Y153</f>
        <v>78811.8865074276</v>
      </c>
      <c r="AB153" s="119" t="n">
        <f aca="false">IF('W Fees &amp; KPI'!$D$20=0,0,T153-U153-Z153)</f>
        <v>82356.8482608696</v>
      </c>
    </row>
    <row r="154" customFormat="false" ht="21" hidden="false" customHeight="true" outlineLevel="0" collapsed="false">
      <c r="C154" s="144" t="n">
        <f aca="false">46692</f>
        <v>46692</v>
      </c>
      <c r="D154" s="81" t="n">
        <f aca="false">2</f>
        <v>2</v>
      </c>
      <c r="E154" s="81" t="str">
        <f aca="false">'W Sites'!C14</f>
        <v>S09</v>
      </c>
      <c r="F154" s="145" t="n">
        <f aca="false">'W Sites'!$G$14*MAX(0,EOMONTH(C154,0)-MAX(C154,'W Sites'!$F$14)+1)/DAY(EOMONTH(C154,0))</f>
        <v>0</v>
      </c>
      <c r="G154" s="145" t="n">
        <f aca="false">'W Sites'!$G$14*MAX(0,EOMONTH(C154,0)-MAX(C154,'W Sites'!$F$14,'W Assumptions'!$D$58)+1)/DAY(EOMONTH(C154,0))</f>
        <v>0</v>
      </c>
      <c r="H154" s="81" t="n">
        <f aca="false">'W Sites'!$H$14*F154*'W Sites'!$I$14*IF(((YEAR(C154)-YEAR('W Sites'!$F$14))*12+MONTH(C154)-MONTH('W Sites'!$F$14))=0,'W Assumptions'!$D$62,IF(((YEAR(C154)-YEAR('W Sites'!$F$14))*12+MONTH(C154)-MONTH('W Sites'!$F$14))=1,'W Assumptions'!$D$63,1))*INDEX('W Assumptions'!$D$7:$F$7,1,D154)*INDEX('W Assumptions'!$D$32:$F$32,1,D154)*INDEX('W Assumptions'!$D$80:$D$91,MONTH(C154),1)/AVERAGE('W Assumptions'!$D$80:$D$91)</f>
        <v>0</v>
      </c>
      <c r="I154" s="81" t="n">
        <f aca="false">H154*'W Sites'!$J$14/(1+'W Assumptions'!$D$39)*INDEX('W Assumptions'!$D$12:$F$12,1,D154)*INDEX('W Assumptions'!$D$33:$F$33,1,D154)</f>
        <v>0</v>
      </c>
      <c r="J154" s="81" t="n">
        <f aca="false">H154*'W Sites'!$K$14/(1+'W Assumptions'!$D$39)*INDEX('W Assumptions'!$D$12:$F$12,1,D154)*INDEX('W Assumptions'!$D$33:$F$33,1,D154)</f>
        <v>0</v>
      </c>
      <c r="K154" s="81" t="n">
        <f aca="false">'W Sites'!$L$14*F154*IF(((YEAR(C154)-YEAR('W Sites'!$F$14))*12+MONTH(C154)-MONTH('W Sites'!$F$14))=0,'W Assumptions'!$D$62,IF(((YEAR(C154)-YEAR('W Sites'!$F$14))*12+MONTH(C154)-MONTH('W Sites'!$F$14))=1,'W Assumptions'!$D$63,1))*INDEX('W Assumptions'!$D$7:$F$7,1,D154)*INDEX('W Assumptions'!$D$32:$F$32,1,D154)</f>
        <v>0</v>
      </c>
      <c r="L154" s="81" t="n">
        <f aca="false">SUM(I154:K154)</f>
        <v>0</v>
      </c>
      <c r="M154" s="81" t="n">
        <f aca="false">'W Site Costs'!$I$14*F154*INDEX('W Assumptions'!$D$34:$F$34,1,D154)*INDEX('W Assumptions'!$D$22:$F$22,1,D154)</f>
        <v>0</v>
      </c>
      <c r="N154" s="81" t="n">
        <f aca="false">'W Site Costs'!$J$14*F154*INDEX('W Assumptions'!$D$35:$F$35,1,D154)*INDEX('W Assumptions'!$D$22:$F$22,1,D154)</f>
        <v>0</v>
      </c>
      <c r="O154" s="81" t="n">
        <f aca="false">L154*'W Site Costs'!$K$14</f>
        <v>0</v>
      </c>
      <c r="P154" s="81" t="n">
        <f aca="false">SUM('W Site Costs'!$L$14:$Q$14)*F154*INDEX('W Assumptions'!$D$35:$F$35,1,D154)*INDEX('W Assumptions'!$D$22:$F$22,1,D154)</f>
        <v>0</v>
      </c>
      <c r="Q154" s="81" t="n">
        <f aca="false">L154*'W Site Costs'!$R$14*INDEX('W Assumptions'!$D$17:$F$17,1,D154)</f>
        <v>0</v>
      </c>
      <c r="R154" s="112" t="n">
        <f aca="false">L154*'W Sites'!$M$14</f>
        <v>0</v>
      </c>
      <c r="S154" s="81" t="n">
        <f aca="false">SUM(M154:R154)</f>
        <v>0</v>
      </c>
      <c r="T154" s="81" t="n">
        <f aca="false">L154-S154</f>
        <v>0</v>
      </c>
      <c r="U154" s="81" t="n">
        <f aca="false">IF(C154='W Budget &amp; Owners'!$I$14,'W Budget &amp; Owners'!$F$14*'W Sites'!$G$14,0)</f>
        <v>0</v>
      </c>
      <c r="V154" s="81" t="n">
        <f aca="false">'W Sites'!$G$14*'W Budget &amp; Owners'!$E$14*INDEX('W Assumptions'!$D$27:$F$27,1,D154)*(IF(C154='W Budget &amp; Owners'!$I$14,'W Assumptions'!$D$65,0)+IF(C154=DATE(YEAR('W Sites'!$F$14),MONTH('W Sites'!$F$14),1),1-'W Assumptions'!$D$65,0))+'W Sites'!$G$14*'W Budget &amp; Owners'!$E$14*IF(C154=DATE(2027,9,1),'W Assumptions'!$D$67,IF(C154=DATE(2028,9,1),'W Assumptions'!$D$69,0))</f>
        <v>0</v>
      </c>
      <c r="W154" s="81" t="n">
        <f aca="false">IF(((YEAR(C154)-YEAR('W Sites'!$F$14))*12+MONTH(C154)-MONTH('W Sites'!$F$14))&lt;'W Budget &amp; Owners'!$H$14,'W Budget &amp; Owners'!$E$14/'W Budget &amp; Owners'!$H$14*F154,0)+IF(C154&gt;=DATE(2027,9,1),'W Budget &amp; Owners'!$E$14*'W Assumptions'!$D$67/'W Budget &amp; Owners'!$H$14*F154,0)+IF(C154&gt;=DATE(2028,9,1),'W Budget &amp; Owners'!$E$14*'W Assumptions'!$D$69/'W Budget &amp; Owners'!$H$14*F154,0)</f>
        <v>0</v>
      </c>
      <c r="X154" s="81" t="n">
        <f aca="false">IF(C154='W Budget &amp; Owners'!$I$14,'W Budget &amp; Owners'!$G$14*'W Sites'!$G$14,0)</f>
        <v>0</v>
      </c>
      <c r="Y154" s="112" t="n">
        <f aca="false">IF(SUM($G$146:$G$155)=0,0,'W Fees &amp; KPI'!$Q$20*G154/SUM($G$146:$G$155))</f>
        <v>0</v>
      </c>
      <c r="Z154" s="119" t="n">
        <f aca="false">IF(SUM($G$146:$G$155)=0,0,SUM('W Fees &amp; KPI'!$J$20,'W Fees &amp; KPI'!$M$20)*G154/SUM($G$146:$G$155))</f>
        <v>0</v>
      </c>
      <c r="AA154" s="117" t="n">
        <f aca="false">T154-U154-Z154-Y154</f>
        <v>0</v>
      </c>
      <c r="AB154" s="119" t="n">
        <f aca="false">IF('W Fees &amp; KPI'!$D$20=0,0,T154-U154-Z154)</f>
        <v>0</v>
      </c>
    </row>
    <row r="155" customFormat="false" ht="21" hidden="false" customHeight="true" outlineLevel="0" collapsed="false">
      <c r="C155" s="144" t="n">
        <f aca="false">46692</f>
        <v>46692</v>
      </c>
      <c r="D155" s="81" t="n">
        <f aca="false">2</f>
        <v>2</v>
      </c>
      <c r="E155" s="81" t="str">
        <f aca="false">'W Sites'!C15</f>
        <v>S10</v>
      </c>
      <c r="F155" s="145" t="n">
        <f aca="false">'W Sites'!$G$15*MAX(0,EOMONTH(C155,0)-MAX(C155,'W Sites'!$F$15)+1)/DAY(EOMONTH(C155,0))</f>
        <v>0</v>
      </c>
      <c r="G155" s="145" t="n">
        <f aca="false">'W Sites'!$G$15*MAX(0,EOMONTH(C155,0)-MAX(C155,'W Sites'!$F$15,'W Assumptions'!$D$58)+1)/DAY(EOMONTH(C155,0))</f>
        <v>0</v>
      </c>
      <c r="H155" s="81" t="n">
        <f aca="false">'W Sites'!$H$15*F155*'W Sites'!$I$15*IF(((YEAR(C155)-YEAR('W Sites'!$F$15))*12+MONTH(C155)-MONTH('W Sites'!$F$15))=0,'W Assumptions'!$D$62,IF(((YEAR(C155)-YEAR('W Sites'!$F$15))*12+MONTH(C155)-MONTH('W Sites'!$F$15))=1,'W Assumptions'!$D$63,1))*INDEX('W Assumptions'!$D$7:$F$7,1,D155)*INDEX('W Assumptions'!$D$32:$F$32,1,D155)*INDEX('W Assumptions'!$D$80:$D$91,MONTH(C155),1)/AVERAGE('W Assumptions'!$D$80:$D$91)</f>
        <v>0</v>
      </c>
      <c r="I155" s="81" t="n">
        <f aca="false">H155*'W Sites'!$J$15/(1+'W Assumptions'!$D$39)*INDEX('W Assumptions'!$D$12:$F$12,1,D155)*INDEX('W Assumptions'!$D$33:$F$33,1,D155)</f>
        <v>0</v>
      </c>
      <c r="J155" s="81" t="n">
        <f aca="false">H155*'W Sites'!$K$15/(1+'W Assumptions'!$D$39)*INDEX('W Assumptions'!$D$12:$F$12,1,D155)*INDEX('W Assumptions'!$D$33:$F$33,1,D155)</f>
        <v>0</v>
      </c>
      <c r="K155" s="81" t="n">
        <f aca="false">'W Sites'!$L$15*F155*IF(((YEAR(C155)-YEAR('W Sites'!$F$15))*12+MONTH(C155)-MONTH('W Sites'!$F$15))=0,'W Assumptions'!$D$62,IF(((YEAR(C155)-YEAR('W Sites'!$F$15))*12+MONTH(C155)-MONTH('W Sites'!$F$15))=1,'W Assumptions'!$D$63,1))*INDEX('W Assumptions'!$D$7:$F$7,1,D155)*INDEX('W Assumptions'!$D$32:$F$32,1,D155)</f>
        <v>0</v>
      </c>
      <c r="L155" s="81" t="n">
        <f aca="false">SUM(I155:K155)</f>
        <v>0</v>
      </c>
      <c r="M155" s="81" t="n">
        <f aca="false">'W Site Costs'!$I$15*F155*INDEX('W Assumptions'!$D$34:$F$34,1,D155)*INDEX('W Assumptions'!$D$22:$F$22,1,D155)</f>
        <v>0</v>
      </c>
      <c r="N155" s="81" t="n">
        <f aca="false">'W Site Costs'!$J$15*F155*INDEX('W Assumptions'!$D$35:$F$35,1,D155)*INDEX('W Assumptions'!$D$22:$F$22,1,D155)</f>
        <v>0</v>
      </c>
      <c r="O155" s="81" t="n">
        <f aca="false">L155*'W Site Costs'!$K$15</f>
        <v>0</v>
      </c>
      <c r="P155" s="81" t="n">
        <f aca="false">SUM('W Site Costs'!$L$15:$Q$15)*F155*INDEX('W Assumptions'!$D$35:$F$35,1,D155)*INDEX('W Assumptions'!$D$22:$F$22,1,D155)</f>
        <v>0</v>
      </c>
      <c r="Q155" s="81" t="n">
        <f aca="false">L155*'W Site Costs'!$R$15*INDEX('W Assumptions'!$D$17:$F$17,1,D155)</f>
        <v>0</v>
      </c>
      <c r="R155" s="112" t="n">
        <f aca="false">L155*'W Sites'!$M$15</f>
        <v>0</v>
      </c>
      <c r="S155" s="81" t="n">
        <f aca="false">SUM(M155:R155)</f>
        <v>0</v>
      </c>
      <c r="T155" s="81" t="n">
        <f aca="false">L155-S155</f>
        <v>0</v>
      </c>
      <c r="U155" s="81" t="n">
        <f aca="false">IF(C155='W Budget &amp; Owners'!$I$15,'W Budget &amp; Owners'!$F$15*'W Sites'!$G$15,0)</f>
        <v>0</v>
      </c>
      <c r="V155" s="81" t="n">
        <f aca="false">'W Sites'!$G$15*'W Budget &amp; Owners'!$E$15*INDEX('W Assumptions'!$D$27:$F$27,1,D155)*(IF(C155='W Budget &amp; Owners'!$I$15,'W Assumptions'!$D$65,0)+IF(C155=DATE(YEAR('W Sites'!$F$15),MONTH('W Sites'!$F$15),1),1-'W Assumptions'!$D$65,0))+'W Sites'!$G$15*'W Budget &amp; Owners'!$E$15*IF(C155=DATE(2027,9,1),'W Assumptions'!$D$67,IF(C155=DATE(2028,9,1),'W Assumptions'!$D$69,0))</f>
        <v>0</v>
      </c>
      <c r="W155" s="81" t="n">
        <f aca="false">IF(((YEAR(C155)-YEAR('W Sites'!$F$15))*12+MONTH(C155)-MONTH('W Sites'!$F$15))&lt;'W Budget &amp; Owners'!$H$15,'W Budget &amp; Owners'!$E$15/'W Budget &amp; Owners'!$H$15*F155,0)+IF(C155&gt;=DATE(2027,9,1),'W Budget &amp; Owners'!$E$15*'W Assumptions'!$D$67/'W Budget &amp; Owners'!$H$15*F155,0)+IF(C155&gt;=DATE(2028,9,1),'W Budget &amp; Owners'!$E$15*'W Assumptions'!$D$69/'W Budget &amp; Owners'!$H$15*F155,0)</f>
        <v>0</v>
      </c>
      <c r="X155" s="81" t="n">
        <f aca="false">IF(C155='W Budget &amp; Owners'!$I$15,'W Budget &amp; Owners'!$G$15*'W Sites'!$G$15,0)</f>
        <v>0</v>
      </c>
      <c r="Y155" s="112" t="n">
        <f aca="false">IF(SUM($G$146:$G$155)=0,0,'W Fees &amp; KPI'!$Q$20*G155/SUM($G$146:$G$155))</f>
        <v>0</v>
      </c>
      <c r="Z155" s="119" t="n">
        <f aca="false">IF(SUM($G$146:$G$155)=0,0,SUM('W Fees &amp; KPI'!$J$20,'W Fees &amp; KPI'!$M$20)*G155/SUM($G$146:$G$155))</f>
        <v>0</v>
      </c>
      <c r="AA155" s="117" t="n">
        <f aca="false">T155-U155-Z155-Y155</f>
        <v>0</v>
      </c>
      <c r="AB155" s="119" t="n">
        <f aca="false">IF('W Fees &amp; KPI'!$D$20=0,0,T155-U155-Z155)</f>
        <v>0</v>
      </c>
    </row>
    <row r="156" customFormat="false" ht="21" hidden="false" customHeight="true" outlineLevel="0" collapsed="false">
      <c r="C156" s="144" t="n">
        <f aca="false">46722</f>
        <v>46722</v>
      </c>
      <c r="D156" s="81" t="n">
        <f aca="false">2</f>
        <v>2</v>
      </c>
      <c r="E156" s="81" t="str">
        <f aca="false">'W Sites'!C6</f>
        <v>S01</v>
      </c>
      <c r="F156" s="145" t="n">
        <f aca="false">'W Sites'!$G$6*MAX(0,EOMONTH(C156,0)-MAX(C156,'W Sites'!$F$6)+1)/DAY(EOMONTH(C156,0))</f>
        <v>1</v>
      </c>
      <c r="G156" s="145" t="n">
        <f aca="false">'W Sites'!$G$6*MAX(0,EOMONTH(C156,0)-MAX(C156,'W Sites'!$F$6,'W Assumptions'!$D$58)+1)/DAY(EOMONTH(C156,0))</f>
        <v>1</v>
      </c>
      <c r="H156" s="81" t="n">
        <f aca="false">'W Sites'!$D$45*INDEX('W Sites'!$E$65:$E$76,MONTH(C156),1)/SUM('W Sites'!$E$65:$E$76)*F156*(1+'W Sites'!$D$56)^(D156-1)*INDEX('W Assumptions'!$D$7:$F$7,1,D156)</f>
        <v>7453.92</v>
      </c>
      <c r="I156" s="81" t="n">
        <f aca="false">H156*'W Sites'!$D$46/(1+'W Sites'!$D$54*'W Assumptions'!$D$39)*INDEX('W Assumptions'!$D$12:$F$12,1,D156)</f>
        <v>409965.6</v>
      </c>
      <c r="J156" s="81" t="n">
        <f aca="false">H156*SUM('W Sites'!$D$47:$D$49)/(1+'W Sites'!$D$54*'W Assumptions'!$D$39)*INDEX('W Assumptions'!$D$12:$F$12,1,D156)</f>
        <v>223617.6</v>
      </c>
      <c r="K156" s="81" t="n">
        <f aca="false">SUM('W Sites'!$D$50:$D$52)/12*F156*(1+'W Sites'!$D$56)^(D156-1)*INDEX('W Assumptions'!$D$7:$F$7,1,D156)*INDEX('W Assumptions'!$D$12:$F$12,1,D156)/(1+'W Sites'!$D$54*'W Assumptions'!$D$39)</f>
        <v>35333.3333333333</v>
      </c>
      <c r="L156" s="81" t="n">
        <f aca="false">SUM(I156:K156)</f>
        <v>668916.533333333</v>
      </c>
      <c r="M156" s="81" t="n">
        <f aca="false">('W Site Costs'!$I$6+INDEX('W Sites'!$F$65:$F$76,MONTH(C156),1)*'W Site Costs'!$V$6)*F156*(1+'W Sites'!$D$58)^(D156-1)*INDEX('W Assumptions'!$D$22:$F$22,1,D156)</f>
        <v>112840</v>
      </c>
      <c r="N156" s="81" t="n">
        <f aca="false">'W Site Costs'!$J$6*F156*INDEX('W Assumptions'!$D$35:$F$35,1,D156)*INDEX('W Assumptions'!$D$22:$F$22,1,D156)</f>
        <v>15600</v>
      </c>
      <c r="O156" s="81" t="n">
        <f aca="false">L156*'W Site Costs'!$K$6</f>
        <v>0</v>
      </c>
      <c r="P156" s="81" t="n">
        <f aca="false">(SUM('W Site Costs'!$L$6:$Q$6)+INDEX('W Sites'!$F$65:$F$76,MONTH(C156),1)*'W Site Costs'!$W$6)*F156*(1+'W Sites'!$D$58)^(D156-1)*INDEX('W Assumptions'!$D$22:$F$22,1,D156)</f>
        <v>76960</v>
      </c>
      <c r="Q156" s="81" t="n">
        <f aca="false">('W Site Costs'!$X$6+INDEX('W Sites'!$F$65:$F$76,MONTH(C156),1)*'W Site Costs'!$Y$6)*F156*(1+'W Sites'!$D$58)^(D156-1)*INDEX('W Assumptions'!$D$17:$F$17,1,D156)</f>
        <v>18720</v>
      </c>
      <c r="R156" s="112" t="n">
        <f aca="false">L156*'W Sites'!$M$6</f>
        <v>0</v>
      </c>
      <c r="S156" s="81" t="n">
        <f aca="false">SUM(M156:R156)</f>
        <v>224120</v>
      </c>
      <c r="T156" s="81" t="n">
        <f aca="false">L156-S156</f>
        <v>444796.533333333</v>
      </c>
      <c r="U156" s="81" t="n">
        <f aca="false">IF(C156='W Budget &amp; Owners'!$I$6,'W Budget &amp; Owners'!$F$6*'W Sites'!$G$6,0)</f>
        <v>0</v>
      </c>
      <c r="V156" s="81" t="n">
        <f aca="false">'W Sites'!$G$6*'W Budget &amp; Owners'!$E$6*INDEX('W Assumptions'!$D$27:$F$27,1,D156)*(IF(C156='W Budget &amp; Owners'!$I$6,'W Assumptions'!$D$65,0)+IF(C156=DATE(YEAR('W Sites'!$F$6),MONTH('W Sites'!$F$6),1),1-'W Assumptions'!$D$65,0))+'W Sites'!$G$6*'W Budget &amp; Owners'!$E$6*IF(C156=DATE(2027,9,1),'W Assumptions'!$D$67,IF(C156=DATE(2028,9,1),'W Assumptions'!$D$69,0))</f>
        <v>0</v>
      </c>
      <c r="W156" s="81" t="n">
        <f aca="false">IF(((YEAR(C156)-YEAR('W Sites'!$F$6))*12+MONTH(C156)-MONTH('W Sites'!$F$6))&lt;'W Budget &amp; Owners'!$H$6,'W Budget &amp; Owners'!$E$6/'W Budget &amp; Owners'!$H$6*F156,0)+IF(C156&gt;=DATE(2027,9,1),'W Budget &amp; Owners'!$E$6*'W Assumptions'!$D$67/'W Budget &amp; Owners'!$H$6*F156,0)+IF(C156&gt;=DATE(2028,9,1),'W Budget &amp; Owners'!$E$6*'W Assumptions'!$D$69/'W Budget &amp; Owners'!$H$6*F156,0)</f>
        <v>5950</v>
      </c>
      <c r="X156" s="81" t="n">
        <f aca="false">IF(C156='W Budget &amp; Owners'!$I$6,'W Budget &amp; Owners'!$G$6*'W Sites'!$G$6,0)</f>
        <v>0</v>
      </c>
      <c r="Y156" s="112" t="n">
        <f aca="false">IF(SUM($G$156:$G$165)=0,0,'W Fees &amp; KPI'!$Q$21*G156/SUM($G$156:$G$165))</f>
        <v>5770.24716458333</v>
      </c>
      <c r="Z156" s="119" t="n">
        <f aca="false">IF(SUM($G$156:$G$165)=0,0,SUM('W Fees &amp; KPI'!$J$21,'W Fees &amp; KPI'!$M$21)*G156/SUM($G$156:$G$165))</f>
        <v>4611.25</v>
      </c>
      <c r="AA156" s="117" t="n">
        <f aca="false">T156-U156-Z156-Y156</f>
        <v>434415.03616875</v>
      </c>
      <c r="AB156" s="119" t="n">
        <f aca="false">IF('W Fees &amp; KPI'!$D$21=0,0,T156-U156-Z156)</f>
        <v>440185.283333333</v>
      </c>
    </row>
    <row r="157" customFormat="false" ht="21" hidden="false" customHeight="true" outlineLevel="0" collapsed="false">
      <c r="C157" s="144" t="n">
        <f aca="false">46722</f>
        <v>46722</v>
      </c>
      <c r="D157" s="81" t="n">
        <f aca="false">2</f>
        <v>2</v>
      </c>
      <c r="E157" s="81" t="str">
        <f aca="false">'W Sites'!C7</f>
        <v>S02</v>
      </c>
      <c r="F157" s="145" t="n">
        <f aca="false">'W Sites'!$G$7*MAX(0,EOMONTH(C157,0)-MAX(C157,'W Sites'!$F$7)+1)/DAY(EOMONTH(C157,0))</f>
        <v>1</v>
      </c>
      <c r="G157" s="145" t="n">
        <f aca="false">'W Sites'!$G$7*MAX(0,EOMONTH(C157,0)-MAX(C157,'W Sites'!$F$7,'W Assumptions'!$D$58)+1)/DAY(EOMONTH(C157,0))</f>
        <v>1</v>
      </c>
      <c r="H157" s="81" t="n">
        <f aca="false">'W Sites'!$H$7*F157*'W Sites'!$I$7*IF(((YEAR(C157)-YEAR('W Sites'!$F$7))*12+MONTH(C157)-MONTH('W Sites'!$F$7))=0,'W Assumptions'!$D$62,IF(((YEAR(C157)-YEAR('W Sites'!$F$7))*12+MONTH(C157)-MONTH('W Sites'!$F$7))=1,'W Assumptions'!$D$63,1))*INDEX('W Assumptions'!$D$7:$F$7,1,D157)*INDEX('W Assumptions'!$D$32:$F$32,1,D157)*INDEX('W Assumptions'!$D$80:$D$91,MONTH(C157),1)/AVERAGE('W Assumptions'!$D$80:$D$91)</f>
        <v>2656.5</v>
      </c>
      <c r="I157" s="81" t="n">
        <f aca="false">H157*'W Sites'!$J$7/(1+'W Assumptions'!$D$39)*INDEX('W Assumptions'!$D$12:$F$12,1,D157)*INDEX('W Assumptions'!$D$33:$F$33,1,D157)</f>
        <v>83275.5</v>
      </c>
      <c r="J157" s="81" t="n">
        <f aca="false">H157*'W Sites'!$K$7/(1+'W Assumptions'!$D$39)*INDEX('W Assumptions'!$D$12:$F$12,1,D157)*INDEX('W Assumptions'!$D$33:$F$33,1,D157)</f>
        <v>7137.9</v>
      </c>
      <c r="K157" s="81" t="n">
        <f aca="false">'W Sites'!$L$7*F157*IF(((YEAR(C157)-YEAR('W Sites'!$F$7))*12+MONTH(C157)-MONTH('W Sites'!$F$7))=0,'W Assumptions'!$D$62,IF(((YEAR(C157)-YEAR('W Sites'!$F$7))*12+MONTH(C157)-MONTH('W Sites'!$F$7))=1,'W Assumptions'!$D$63,1))*INDEX('W Assumptions'!$D$7:$F$7,1,D157)*INDEX('W Assumptions'!$D$32:$F$32,1,D157)</f>
        <v>5500</v>
      </c>
      <c r="L157" s="81" t="n">
        <f aca="false">SUM(I157:K157)</f>
        <v>95913.4</v>
      </c>
      <c r="M157" s="81" t="n">
        <f aca="false">'W Site Costs'!$I$7*F157*INDEX('W Assumptions'!$D$34:$F$34,1,D157)*INDEX('W Assumptions'!$D$22:$F$22,1,D157)</f>
        <v>34072.5</v>
      </c>
      <c r="N157" s="81" t="n">
        <f aca="false">'W Site Costs'!$J$7*F157*INDEX('W Assumptions'!$D$35:$F$35,1,D157)*INDEX('W Assumptions'!$D$22:$F$22,1,D157)</f>
        <v>0</v>
      </c>
      <c r="O157" s="81" t="n">
        <f aca="false">L157*'W Site Costs'!$K$7</f>
        <v>14387.01</v>
      </c>
      <c r="P157" s="81" t="n">
        <f aca="false">SUM('W Site Costs'!$L$7:$Q$7)*F157*INDEX('W Assumptions'!$D$35:$F$35,1,D157)*INDEX('W Assumptions'!$D$22:$F$22,1,D157)</f>
        <v>12168</v>
      </c>
      <c r="Q157" s="81" t="n">
        <f aca="false">L157*'W Site Costs'!$R$7*INDEX('W Assumptions'!$D$17:$F$17,1,D157)</f>
        <v>5754.804</v>
      </c>
      <c r="R157" s="112" t="n">
        <f aca="false">L157*'W Sites'!$M$7</f>
        <v>0</v>
      </c>
      <c r="S157" s="81" t="n">
        <f aca="false">SUM(M157:R157)</f>
        <v>66382.314</v>
      </c>
      <c r="T157" s="81" t="n">
        <f aca="false">L157-S157</f>
        <v>29531.086</v>
      </c>
      <c r="U157" s="81" t="n">
        <f aca="false">IF(C157='W Budget &amp; Owners'!$I$7,'W Budget &amp; Owners'!$F$7*'W Sites'!$G$7,0)</f>
        <v>0</v>
      </c>
      <c r="V157" s="81" t="n">
        <f aca="false">'W Sites'!$G$7*'W Budget &amp; Owners'!$E$7*INDEX('W Assumptions'!$D$27:$F$27,1,D157)*(IF(C157='W Budget &amp; Owners'!$I$7,'W Assumptions'!$D$65,0)+IF(C157=DATE(YEAR('W Sites'!$F$7),MONTH('W Sites'!$F$7),1),1-'W Assumptions'!$D$65,0))+'W Sites'!$G$7*'W Budget &amp; Owners'!$E$7*IF(C157=DATE(2027,9,1),'W Assumptions'!$D$67,IF(C157=DATE(2028,9,1),'W Assumptions'!$D$69,0))</f>
        <v>0</v>
      </c>
      <c r="W157" s="81" t="n">
        <f aca="false">IF(((YEAR(C157)-YEAR('W Sites'!$F$7))*12+MONTH(C157)-MONTH('W Sites'!$F$7))&lt;'W Budget &amp; Owners'!$H$7,'W Budget &amp; Owners'!$E$7/'W Budget &amp; Owners'!$H$7*F157,0)+IF(C157&gt;=DATE(2027,9,1),'W Budget &amp; Owners'!$E$7*'W Assumptions'!$D$67/'W Budget &amp; Owners'!$H$7*F157,0)+IF(C157&gt;=DATE(2028,9,1),'W Budget &amp; Owners'!$E$7*'W Assumptions'!$D$69/'W Budget &amp; Owners'!$H$7*F157,0)</f>
        <v>1360</v>
      </c>
      <c r="X157" s="81" t="n">
        <f aca="false">IF(C157='W Budget &amp; Owners'!$I$7,'W Budget &amp; Owners'!$G$7*'W Sites'!$G$7,0)</f>
        <v>0</v>
      </c>
      <c r="Y157" s="112" t="n">
        <f aca="false">IF(SUM($G$156:$G$165)=0,0,'W Fees &amp; KPI'!$Q$21*G157/SUM($G$156:$G$165))</f>
        <v>5770.24716458333</v>
      </c>
      <c r="Z157" s="119" t="n">
        <f aca="false">IF(SUM($G$156:$G$165)=0,0,SUM('W Fees &amp; KPI'!$J$21,'W Fees &amp; KPI'!$M$21)*G157/SUM($G$156:$G$165))</f>
        <v>4611.25</v>
      </c>
      <c r="AA157" s="117" t="n">
        <f aca="false">T157-U157-Z157-Y157</f>
        <v>19149.5888354167</v>
      </c>
      <c r="AB157" s="119" t="n">
        <f aca="false">IF('W Fees &amp; KPI'!$D$21=0,0,T157-U157-Z157)</f>
        <v>24919.836</v>
      </c>
    </row>
    <row r="158" customFormat="false" ht="21" hidden="false" customHeight="true" outlineLevel="0" collapsed="false">
      <c r="C158" s="144" t="n">
        <f aca="false">46722</f>
        <v>46722</v>
      </c>
      <c r="D158" s="81" t="n">
        <f aca="false">2</f>
        <v>2</v>
      </c>
      <c r="E158" s="81" t="str">
        <f aca="false">'W Sites'!C8</f>
        <v>S03</v>
      </c>
      <c r="F158" s="145" t="n">
        <f aca="false">'W Sites'!$G$8*MAX(0,EOMONTH(C158,0)-MAX(C158,'W Sites'!$F$8)+1)/DAY(EOMONTH(C158,0))</f>
        <v>1</v>
      </c>
      <c r="G158" s="145" t="n">
        <f aca="false">'W Sites'!$G$8*MAX(0,EOMONTH(C158,0)-MAX(C158,'W Sites'!$F$8,'W Assumptions'!$D$58)+1)/DAY(EOMONTH(C158,0))</f>
        <v>1</v>
      </c>
      <c r="H158" s="81" t="n">
        <f aca="false">'W Sites'!$H$8*F158*'W Sites'!$I$8*IF(((YEAR(C158)-YEAR('W Sites'!$F$8))*12+MONTH(C158)-MONTH('W Sites'!$F$8))=0,'W Assumptions'!$D$62,IF(((YEAR(C158)-YEAR('W Sites'!$F$8))*12+MONTH(C158)-MONTH('W Sites'!$F$8))=1,'W Assumptions'!$D$63,1))*INDEX('W Assumptions'!$D$7:$F$7,1,D158)*INDEX('W Assumptions'!$D$32:$F$32,1,D158)*INDEX('W Assumptions'!$D$80:$D$91,MONTH(C158),1)/AVERAGE('W Assumptions'!$D$80:$D$91)</f>
        <v>3587.05479452055</v>
      </c>
      <c r="I158" s="81" t="n">
        <f aca="false">H158*'W Sites'!$J$8/(1+'W Assumptions'!$D$39)*INDEX('W Assumptions'!$D$12:$F$12,1,D158)*INDEX('W Assumptions'!$D$33:$F$33,1,D158)</f>
        <v>208828.97260274</v>
      </c>
      <c r="J158" s="81" t="n">
        <f aca="false">H158*'W Sites'!$K$8/(1+'W Assumptions'!$D$39)*INDEX('W Assumptions'!$D$12:$F$12,1,D158)*INDEX('W Assumptions'!$D$33:$F$33,1,D158)</f>
        <v>25702.0273972603</v>
      </c>
      <c r="K158" s="81" t="n">
        <f aca="false">'W Sites'!$L$8*F158*IF(((YEAR(C158)-YEAR('W Sites'!$F$8))*12+MONTH(C158)-MONTH('W Sites'!$F$8))=0,'W Assumptions'!$D$62,IF(((YEAR(C158)-YEAR('W Sites'!$F$8))*12+MONTH(C158)-MONTH('W Sites'!$F$8))=1,'W Assumptions'!$D$63,1))*INDEX('W Assumptions'!$D$7:$F$7,1,D158)*INDEX('W Assumptions'!$D$32:$F$32,1,D158)</f>
        <v>22000</v>
      </c>
      <c r="L158" s="81" t="n">
        <f aca="false">SUM(I158:K158)</f>
        <v>256531</v>
      </c>
      <c r="M158" s="81" t="n">
        <f aca="false">'W Site Costs'!$I$8*F158*INDEX('W Assumptions'!$D$34:$F$34,1,D158)*INDEX('W Assumptions'!$D$22:$F$22,1,D158)</f>
        <v>50427.3</v>
      </c>
      <c r="N158" s="81" t="n">
        <f aca="false">'W Site Costs'!$J$8*F158*INDEX('W Assumptions'!$D$35:$F$35,1,D158)*INDEX('W Assumptions'!$D$22:$F$22,1,D158)</f>
        <v>36400</v>
      </c>
      <c r="O158" s="81" t="n">
        <f aca="false">L158*'W Site Costs'!$K$8</f>
        <v>0</v>
      </c>
      <c r="P158" s="81" t="n">
        <f aca="false">SUM('W Site Costs'!$L$8:$Q$8)*F158*INDEX('W Assumptions'!$D$35:$F$35,1,D158)*INDEX('W Assumptions'!$D$22:$F$22,1,D158)</f>
        <v>20280</v>
      </c>
      <c r="Q158" s="81" t="n">
        <f aca="false">L158*'W Site Costs'!$R$8*INDEX('W Assumptions'!$D$17:$F$17,1,D158)</f>
        <v>20522.48</v>
      </c>
      <c r="R158" s="112" t="n">
        <f aca="false">L158*'W Sites'!$M$8</f>
        <v>0</v>
      </c>
      <c r="S158" s="81" t="n">
        <f aca="false">SUM(M158:R158)</f>
        <v>127629.78</v>
      </c>
      <c r="T158" s="81" t="n">
        <f aca="false">L158-S158</f>
        <v>128901.22</v>
      </c>
      <c r="U158" s="81" t="n">
        <f aca="false">IF(C158='W Budget &amp; Owners'!$I$8,'W Budget &amp; Owners'!$F$8*'W Sites'!$G$8,0)</f>
        <v>0</v>
      </c>
      <c r="V158" s="81" t="n">
        <f aca="false">'W Sites'!$G$8*'W Budget &amp; Owners'!$E$8*INDEX('W Assumptions'!$D$27:$F$27,1,D158)*(IF(C158='W Budget &amp; Owners'!$I$8,'W Assumptions'!$D$65,0)+IF(C158=DATE(YEAR('W Sites'!$F$8),MONTH('W Sites'!$F$8),1),1-'W Assumptions'!$D$65,0))+'W Sites'!$G$8*'W Budget &amp; Owners'!$E$8*IF(C158=DATE(2027,9,1),'W Assumptions'!$D$67,IF(C158=DATE(2028,9,1),'W Assumptions'!$D$69,0))</f>
        <v>0</v>
      </c>
      <c r="W158" s="81" t="n">
        <f aca="false">IF(((YEAR(C158)-YEAR('W Sites'!$F$8))*12+MONTH(C158)-MONTH('W Sites'!$F$8))&lt;'W Budget &amp; Owners'!$H$8,'W Budget &amp; Owners'!$E$8/'W Budget &amp; Owners'!$H$8*F158,0)+IF(C158&gt;=DATE(2027,9,1),'W Budget &amp; Owners'!$E$8*'W Assumptions'!$D$67/'W Budget &amp; Owners'!$H$8*F158,0)+IF(C158&gt;=DATE(2028,9,1),'W Budget &amp; Owners'!$E$8*'W Assumptions'!$D$69/'W Budget &amp; Owners'!$H$8*F158,0)</f>
        <v>10200</v>
      </c>
      <c r="X158" s="81" t="n">
        <f aca="false">IF(C158='W Budget &amp; Owners'!$I$8,'W Budget &amp; Owners'!$G$8*'W Sites'!$G$8,0)</f>
        <v>0</v>
      </c>
      <c r="Y158" s="112" t="n">
        <f aca="false">IF(SUM($G$156:$G$165)=0,0,'W Fees &amp; KPI'!$Q$21*G158/SUM($G$156:$G$165))</f>
        <v>5770.24716458333</v>
      </c>
      <c r="Z158" s="119" t="n">
        <f aca="false">IF(SUM($G$156:$G$165)=0,0,SUM('W Fees &amp; KPI'!$J$21,'W Fees &amp; KPI'!$M$21)*G158/SUM($G$156:$G$165))</f>
        <v>4611.25</v>
      </c>
      <c r="AA158" s="117" t="n">
        <f aca="false">T158-U158-Z158-Y158</f>
        <v>118519.722835417</v>
      </c>
      <c r="AB158" s="119" t="n">
        <f aca="false">IF('W Fees &amp; KPI'!$D$21=0,0,T158-U158-Z158)</f>
        <v>124289.97</v>
      </c>
    </row>
    <row r="159" customFormat="false" ht="21" hidden="false" customHeight="true" outlineLevel="0" collapsed="false">
      <c r="C159" s="144" t="n">
        <f aca="false">46722</f>
        <v>46722</v>
      </c>
      <c r="D159" s="81" t="n">
        <f aca="false">2</f>
        <v>2</v>
      </c>
      <c r="E159" s="81" t="str">
        <f aca="false">'W Sites'!C9</f>
        <v>S04</v>
      </c>
      <c r="F159" s="145" t="n">
        <f aca="false">'W Sites'!$G$9*MAX(0,EOMONTH(C159,0)-MAX(C159,'W Sites'!$F$9)+1)/DAY(EOMONTH(C159,0))</f>
        <v>1</v>
      </c>
      <c r="G159" s="145" t="n">
        <f aca="false">'W Sites'!$G$9*MAX(0,EOMONTH(C159,0)-MAX(C159,'W Sites'!$F$9,'W Assumptions'!$D$58)+1)/DAY(EOMONTH(C159,0))</f>
        <v>1</v>
      </c>
      <c r="H159" s="81" t="n">
        <f aca="false">'W Sites'!$H$9*F159*'W Sites'!$I$9*IF(((YEAR(C159)-YEAR('W Sites'!$F$9))*12+MONTH(C159)-MONTH('W Sites'!$F$9))=0,'W Assumptions'!$D$62,IF(((YEAR(C159)-YEAR('W Sites'!$F$9))*12+MONTH(C159)-MONTH('W Sites'!$F$9))=1,'W Assumptions'!$D$63,1))*INDEX('W Assumptions'!$D$7:$F$7,1,D159)*INDEX('W Assumptions'!$D$32:$F$32,1,D159)*INDEX('W Assumptions'!$D$80:$D$91,MONTH(C159),1)/AVERAGE('W Assumptions'!$D$80:$D$91)</f>
        <v>2525.60763888889</v>
      </c>
      <c r="I159" s="81" t="n">
        <f aca="false">H159*'W Sites'!$J$9/(1+'W Assumptions'!$D$39)*INDEX('W Assumptions'!$D$12:$F$12,1,D159)*INDEX('W Assumptions'!$D$33:$F$33,1,D159)</f>
        <v>147034.288194444</v>
      </c>
      <c r="J159" s="81" t="n">
        <f aca="false">H159*'W Sites'!$K$9/(1+'W Assumptions'!$D$39)*INDEX('W Assumptions'!$D$12:$F$12,1,D159)*INDEX('W Assumptions'!$D$33:$F$33,1,D159)</f>
        <v>15834.4618055556</v>
      </c>
      <c r="K159" s="81" t="n">
        <f aca="false">'W Sites'!$L$9*F159*IF(((YEAR(C159)-YEAR('W Sites'!$F$9))*12+MONTH(C159)-MONTH('W Sites'!$F$9))=0,'W Assumptions'!$D$62,IF(((YEAR(C159)-YEAR('W Sites'!$F$9))*12+MONTH(C159)-MONTH('W Sites'!$F$9))=1,'W Assumptions'!$D$63,1))*INDEX('W Assumptions'!$D$7:$F$7,1,D159)*INDEX('W Assumptions'!$D$32:$F$32,1,D159)</f>
        <v>16500</v>
      </c>
      <c r="L159" s="81" t="n">
        <f aca="false">SUM(I159:K159)</f>
        <v>179368.75</v>
      </c>
      <c r="M159" s="81" t="n">
        <f aca="false">'W Site Costs'!$I$9*F159*INDEX('W Assumptions'!$D$34:$F$34,1,D159)*INDEX('W Assumptions'!$D$22:$F$22,1,D159)</f>
        <v>39648</v>
      </c>
      <c r="N159" s="81" t="n">
        <f aca="false">'W Site Costs'!$J$9*F159*INDEX('W Assumptions'!$D$35:$F$35,1,D159)*INDEX('W Assumptions'!$D$22:$F$22,1,D159)</f>
        <v>22880</v>
      </c>
      <c r="O159" s="81" t="n">
        <f aca="false">L159*'W Site Costs'!$K$9</f>
        <v>0</v>
      </c>
      <c r="P159" s="81" t="n">
        <f aca="false">SUM('W Site Costs'!$L$9:$Q$9)*F159*INDEX('W Assumptions'!$D$35:$F$35,1,D159)*INDEX('W Assumptions'!$D$22:$F$22,1,D159)</f>
        <v>16120</v>
      </c>
      <c r="Q159" s="81" t="n">
        <f aca="false">L159*'W Site Costs'!$R$9*INDEX('W Assumptions'!$D$17:$F$17,1,D159)</f>
        <v>14349.5</v>
      </c>
      <c r="R159" s="112" t="n">
        <f aca="false">L159*'W Sites'!$M$9</f>
        <v>0</v>
      </c>
      <c r="S159" s="81" t="n">
        <f aca="false">SUM(M159:R159)</f>
        <v>92997.5</v>
      </c>
      <c r="T159" s="81" t="n">
        <f aca="false">L159-S159</f>
        <v>86371.25</v>
      </c>
      <c r="U159" s="81" t="n">
        <f aca="false">IF(C159='W Budget &amp; Owners'!$I$9,'W Budget &amp; Owners'!$F$9*'W Sites'!$G$9,0)</f>
        <v>0</v>
      </c>
      <c r="V159" s="81" t="n">
        <f aca="false">'W Sites'!$G$9*'W Budget &amp; Owners'!$E$9*INDEX('W Assumptions'!$D$27:$F$27,1,D159)*(IF(C159='W Budget &amp; Owners'!$I$9,'W Assumptions'!$D$65,0)+IF(C159=DATE(YEAR('W Sites'!$F$9),MONTH('W Sites'!$F$9),1),1-'W Assumptions'!$D$65,0))+'W Sites'!$G$9*'W Budget &amp; Owners'!$E$9*IF(C159=DATE(2027,9,1),'W Assumptions'!$D$67,IF(C159=DATE(2028,9,1),'W Assumptions'!$D$69,0))</f>
        <v>0</v>
      </c>
      <c r="W159" s="81" t="n">
        <f aca="false">IF(((YEAR(C159)-YEAR('W Sites'!$F$9))*12+MONTH(C159)-MONTH('W Sites'!$F$9))&lt;'W Budget &amp; Owners'!$H$9,'W Budget &amp; Owners'!$E$9/'W Budget &amp; Owners'!$H$9*F159,0)+IF(C159&gt;=DATE(2027,9,1),'W Budget &amp; Owners'!$E$9*'W Assumptions'!$D$67/'W Budget &amp; Owners'!$H$9*F159,0)+IF(C159&gt;=DATE(2028,9,1),'W Budget &amp; Owners'!$E$9*'W Assumptions'!$D$69/'W Budget &amp; Owners'!$H$9*F159,0)</f>
        <v>8500</v>
      </c>
      <c r="X159" s="81" t="n">
        <f aca="false">IF(C159='W Budget &amp; Owners'!$I$9,'W Budget &amp; Owners'!$G$9*'W Sites'!$G$9,0)</f>
        <v>0</v>
      </c>
      <c r="Y159" s="112" t="n">
        <f aca="false">IF(SUM($G$156:$G$165)=0,0,'W Fees &amp; KPI'!$Q$21*G159/SUM($G$156:$G$165))</f>
        <v>5770.24716458333</v>
      </c>
      <c r="Z159" s="119" t="n">
        <f aca="false">IF(SUM($G$156:$G$165)=0,0,SUM('W Fees &amp; KPI'!$J$21,'W Fees &amp; KPI'!$M$21)*G159/SUM($G$156:$G$165))</f>
        <v>4611.25</v>
      </c>
      <c r="AA159" s="117" t="n">
        <f aca="false">T159-U159-Z159-Y159</f>
        <v>75989.7528354167</v>
      </c>
      <c r="AB159" s="119" t="n">
        <f aca="false">IF('W Fees &amp; KPI'!$D$21=0,0,T159-U159-Z159)</f>
        <v>81760</v>
      </c>
    </row>
    <row r="160" customFormat="false" ht="21" hidden="false" customHeight="true" outlineLevel="0" collapsed="false">
      <c r="C160" s="144" t="n">
        <f aca="false">46722</f>
        <v>46722</v>
      </c>
      <c r="D160" s="81" t="n">
        <f aca="false">2</f>
        <v>2</v>
      </c>
      <c r="E160" s="81" t="str">
        <f aca="false">'W Sites'!C10</f>
        <v>S05</v>
      </c>
      <c r="F160" s="145" t="n">
        <f aca="false">'W Sites'!$G$10*MAX(0,EOMONTH(C160,0)-MAX(C160,'W Sites'!$F$10)+1)/DAY(EOMONTH(C160,0))</f>
        <v>1</v>
      </c>
      <c r="G160" s="145" t="n">
        <f aca="false">'W Sites'!$G$10*MAX(0,EOMONTH(C160,0)-MAX(C160,'W Sites'!$F$10,'W Assumptions'!$D$58)+1)/DAY(EOMONTH(C160,0))</f>
        <v>1</v>
      </c>
      <c r="H160" s="81" t="n">
        <f aca="false">'W Sites'!$H$10*F160*'W Sites'!$I$10*IF(((YEAR(C160)-YEAR('W Sites'!$F$10))*12+MONTH(C160)-MONTH('W Sites'!$F$10))=0,'W Assumptions'!$D$62,IF(((YEAR(C160)-YEAR('W Sites'!$F$10))*12+MONTH(C160)-MONTH('W Sites'!$F$10))=1,'W Assumptions'!$D$63,1))*INDEX('W Assumptions'!$D$7:$F$7,1,D160)*INDEX('W Assumptions'!$D$32:$F$32,1,D160)*INDEX('W Assumptions'!$D$80:$D$91,MONTH(C160),1)/AVERAGE('W Assumptions'!$D$80:$D$91)</f>
        <v>3228.34931506849</v>
      </c>
      <c r="I160" s="81" t="n">
        <f aca="false">H160*'W Sites'!$J$10/(1+'W Assumptions'!$D$39)*INDEX('W Assumptions'!$D$12:$F$12,1,D160)*INDEX('W Assumptions'!$D$33:$F$33,1,D160)</f>
        <v>187946.075342466</v>
      </c>
      <c r="J160" s="81" t="n">
        <f aca="false">H160*'W Sites'!$K$10/(1+'W Assumptions'!$D$39)*INDEX('W Assumptions'!$D$12:$F$12,1,D160)*INDEX('W Assumptions'!$D$33:$F$33,1,D160)</f>
        <v>23131.8246575343</v>
      </c>
      <c r="K160" s="81" t="n">
        <f aca="false">'W Sites'!$L$10*F160*IF(((YEAR(C160)-YEAR('W Sites'!$F$10))*12+MONTH(C160)-MONTH('W Sites'!$F$10))=0,'W Assumptions'!$D$62,IF(((YEAR(C160)-YEAR('W Sites'!$F$10))*12+MONTH(C160)-MONTH('W Sites'!$F$10))=1,'W Assumptions'!$D$63,1))*INDEX('W Assumptions'!$D$7:$F$7,1,D160)*INDEX('W Assumptions'!$D$32:$F$32,1,D160)</f>
        <v>19800</v>
      </c>
      <c r="L160" s="81" t="n">
        <f aca="false">SUM(I160:K160)</f>
        <v>230877.9</v>
      </c>
      <c r="M160" s="81" t="n">
        <f aca="false">'W Site Costs'!$I$10*F160*INDEX('W Assumptions'!$D$34:$F$34,1,D160)*INDEX('W Assumptions'!$D$22:$F$22,1,D160)</f>
        <v>50427.3</v>
      </c>
      <c r="N160" s="81" t="n">
        <f aca="false">'W Site Costs'!$J$10*F160*INDEX('W Assumptions'!$D$35:$F$35,1,D160)*INDEX('W Assumptions'!$D$22:$F$22,1,D160)</f>
        <v>31200</v>
      </c>
      <c r="O160" s="81" t="n">
        <f aca="false">L160*'W Site Costs'!$K$10</f>
        <v>0</v>
      </c>
      <c r="P160" s="81" t="n">
        <f aca="false">SUM('W Site Costs'!$L$10:$Q$10)*F160*INDEX('W Assumptions'!$D$35:$F$35,1,D160)*INDEX('W Assumptions'!$D$22:$F$22,1,D160)</f>
        <v>19760</v>
      </c>
      <c r="Q160" s="81" t="n">
        <f aca="false">L160*'W Site Costs'!$R$10*INDEX('W Assumptions'!$D$17:$F$17,1,D160)</f>
        <v>18470.232</v>
      </c>
      <c r="R160" s="112" t="n">
        <f aca="false">L160*'W Sites'!$M$10</f>
        <v>0</v>
      </c>
      <c r="S160" s="81" t="n">
        <f aca="false">SUM(M160:R160)</f>
        <v>119857.532</v>
      </c>
      <c r="T160" s="81" t="n">
        <f aca="false">L160-S160</f>
        <v>111020.368</v>
      </c>
      <c r="U160" s="81" t="n">
        <f aca="false">IF(C160='W Budget &amp; Owners'!$I$10,'W Budget &amp; Owners'!$F$10*'W Sites'!$G$10,0)</f>
        <v>0</v>
      </c>
      <c r="V160" s="81" t="n">
        <f aca="false">'W Sites'!$G$10*'W Budget &amp; Owners'!$E$10*INDEX('W Assumptions'!$D$27:$F$27,1,D160)*(IF(C160='W Budget &amp; Owners'!$I$10,'W Assumptions'!$D$65,0)+IF(C160=DATE(YEAR('W Sites'!$F$10),MONTH('W Sites'!$F$10),1),1-'W Assumptions'!$D$65,0))+'W Sites'!$G$10*'W Budget &amp; Owners'!$E$10*IF(C160=DATE(2027,9,1),'W Assumptions'!$D$67,IF(C160=DATE(2028,9,1),'W Assumptions'!$D$69,0))</f>
        <v>0</v>
      </c>
      <c r="W160" s="81" t="n">
        <f aca="false">IF(((YEAR(C160)-YEAR('W Sites'!$F$10))*12+MONTH(C160)-MONTH('W Sites'!$F$10))&lt;'W Budget &amp; Owners'!$H$10,'W Budget &amp; Owners'!$E$10/'W Budget &amp; Owners'!$H$10*F160,0)+IF(C160&gt;=DATE(2027,9,1),'W Budget &amp; Owners'!$E$10*'W Assumptions'!$D$67/'W Budget &amp; Owners'!$H$10*F160,0)+IF(C160&gt;=DATE(2028,9,1),'W Budget &amp; Owners'!$E$10*'W Assumptions'!$D$69/'W Budget &amp; Owners'!$H$10*F160,0)</f>
        <v>12750</v>
      </c>
      <c r="X160" s="81" t="n">
        <f aca="false">IF(C160='W Budget &amp; Owners'!$I$10,'W Budget &amp; Owners'!$G$10*'W Sites'!$G$10,0)</f>
        <v>0</v>
      </c>
      <c r="Y160" s="112" t="n">
        <f aca="false">IF(SUM($G$156:$G$165)=0,0,'W Fees &amp; KPI'!$Q$21*G160/SUM($G$156:$G$165))</f>
        <v>5770.24716458333</v>
      </c>
      <c r="Z160" s="119" t="n">
        <f aca="false">IF(SUM($G$156:$G$165)=0,0,SUM('W Fees &amp; KPI'!$J$21,'W Fees &amp; KPI'!$M$21)*G160/SUM($G$156:$G$165))</f>
        <v>4611.25</v>
      </c>
      <c r="AA160" s="117" t="n">
        <f aca="false">T160-U160-Z160-Y160</f>
        <v>100638.870835417</v>
      </c>
      <c r="AB160" s="119" t="n">
        <f aca="false">IF('W Fees &amp; KPI'!$D$21=0,0,T160-U160-Z160)</f>
        <v>106409.118</v>
      </c>
    </row>
    <row r="161" customFormat="false" ht="21" hidden="false" customHeight="true" outlineLevel="0" collapsed="false">
      <c r="C161" s="144" t="n">
        <f aca="false">46722</f>
        <v>46722</v>
      </c>
      <c r="D161" s="81" t="n">
        <f aca="false">2</f>
        <v>2</v>
      </c>
      <c r="E161" s="81" t="str">
        <f aca="false">'W Sites'!C11</f>
        <v>S06</v>
      </c>
      <c r="F161" s="145" t="n">
        <f aca="false">'W Sites'!$G$11*MAX(0,EOMONTH(C161,0)-MAX(C161,'W Sites'!$F$11)+1)/DAY(EOMONTH(C161,0))</f>
        <v>1</v>
      </c>
      <c r="G161" s="145" t="n">
        <f aca="false">'W Sites'!$G$11*MAX(0,EOMONTH(C161,0)-MAX(C161,'W Sites'!$F$11,'W Assumptions'!$D$58)+1)/DAY(EOMONTH(C161,0))</f>
        <v>1</v>
      </c>
      <c r="H161" s="81" t="n">
        <f aca="false">'W Sites'!$H$11*F161*'W Sites'!$I$11*IF(((YEAR(C161)-YEAR('W Sites'!$F$11))*12+MONTH(C161)-MONTH('W Sites'!$F$11))=0,'W Assumptions'!$D$62,IF(((YEAR(C161)-YEAR('W Sites'!$F$11))*12+MONTH(C161)-MONTH('W Sites'!$F$11))=1,'W Assumptions'!$D$63,1))*INDEX('W Assumptions'!$D$7:$F$7,1,D161)*INDEX('W Assumptions'!$D$32:$F$32,1,D161)*INDEX('W Assumptions'!$D$80:$D$91,MONTH(C161),1)/AVERAGE('W Assumptions'!$D$80:$D$91)</f>
        <v>986.7</v>
      </c>
      <c r="I161" s="81" t="n">
        <f aca="false">H161*'W Sites'!$J$11/(1+'W Assumptions'!$D$39)*INDEX('W Assumptions'!$D$12:$F$12,1,D161)*INDEX('W Assumptions'!$D$33:$F$33,1,D161)</f>
        <v>53024.4</v>
      </c>
      <c r="J161" s="81" t="n">
        <f aca="false">H161*'W Sites'!$K$11/(1+'W Assumptions'!$D$39)*INDEX('W Assumptions'!$D$12:$F$12,1,D161)*INDEX('W Assumptions'!$D$33:$F$33,1,D161)</f>
        <v>2651.22</v>
      </c>
      <c r="K161" s="81" t="n">
        <f aca="false">'W Sites'!$L$11*F161*IF(((YEAR(C161)-YEAR('W Sites'!$F$11))*12+MONTH(C161)-MONTH('W Sites'!$F$11))=0,'W Assumptions'!$D$62,IF(((YEAR(C161)-YEAR('W Sites'!$F$11))*12+MONTH(C161)-MONTH('W Sites'!$F$11))=1,'W Assumptions'!$D$63,1))*INDEX('W Assumptions'!$D$7:$F$7,1,D161)*INDEX('W Assumptions'!$D$32:$F$32,1,D161)</f>
        <v>22000</v>
      </c>
      <c r="L161" s="81" t="n">
        <f aca="false">SUM(I161:K161)</f>
        <v>77675.62</v>
      </c>
      <c r="M161" s="81" t="n">
        <f aca="false">'W Site Costs'!$I$11*F161*INDEX('W Assumptions'!$D$34:$F$34,1,D161)*INDEX('W Assumptions'!$D$22:$F$22,1,D161)</f>
        <v>25027.8</v>
      </c>
      <c r="N161" s="81" t="n">
        <f aca="false">'W Site Costs'!$J$11*F161*INDEX('W Assumptions'!$D$35:$F$35,1,D161)*INDEX('W Assumptions'!$D$22:$F$22,1,D161)</f>
        <v>5200</v>
      </c>
      <c r="O161" s="81" t="n">
        <f aca="false">L161*'W Site Costs'!$K$11</f>
        <v>0</v>
      </c>
      <c r="P161" s="81" t="n">
        <f aca="false">SUM('W Site Costs'!$L$11:$Q$11)*F161*INDEX('W Assumptions'!$D$35:$F$35,1,D161)*INDEX('W Assumptions'!$D$22:$F$22,1,D161)</f>
        <v>8320</v>
      </c>
      <c r="Q161" s="81" t="n">
        <f aca="false">L161*'W Site Costs'!$R$11*INDEX('W Assumptions'!$D$17:$F$17,1,D161)</f>
        <v>7767.562</v>
      </c>
      <c r="R161" s="112" t="n">
        <f aca="false">L161*'W Sites'!$M$11</f>
        <v>0</v>
      </c>
      <c r="S161" s="81" t="n">
        <f aca="false">SUM(M161:R161)</f>
        <v>46315.362</v>
      </c>
      <c r="T161" s="81" t="n">
        <f aca="false">L161-S161</f>
        <v>31360.258</v>
      </c>
      <c r="U161" s="81" t="n">
        <f aca="false">IF(C161='W Budget &amp; Owners'!$I$11,'W Budget &amp; Owners'!$F$11*'W Sites'!$G$11,0)</f>
        <v>0</v>
      </c>
      <c r="V161" s="81" t="n">
        <f aca="false">'W Sites'!$G$11*'W Budget &amp; Owners'!$E$11*INDEX('W Assumptions'!$D$27:$F$27,1,D161)*(IF(C161='W Budget &amp; Owners'!$I$11,'W Assumptions'!$D$65,0)+IF(C161=DATE(YEAR('W Sites'!$F$11),MONTH('W Sites'!$F$11),1),1-'W Assumptions'!$D$65,0))+'W Sites'!$G$11*'W Budget &amp; Owners'!$E$11*IF(C161=DATE(2027,9,1),'W Assumptions'!$D$67,IF(C161=DATE(2028,9,1),'W Assumptions'!$D$69,0))</f>
        <v>0</v>
      </c>
      <c r="W161" s="81" t="n">
        <f aca="false">IF(((YEAR(C161)-YEAR('W Sites'!$F$11))*12+MONTH(C161)-MONTH('W Sites'!$F$11))&lt;'W Budget &amp; Owners'!$H$11,'W Budget &amp; Owners'!$E$11/'W Budget &amp; Owners'!$H$11*F161,0)+IF(C161&gt;=DATE(2027,9,1),'W Budget &amp; Owners'!$E$11*'W Assumptions'!$D$67/'W Budget &amp; Owners'!$H$11*F161,0)+IF(C161&gt;=DATE(2028,9,1),'W Budget &amp; Owners'!$E$11*'W Assumptions'!$D$69/'W Budget &amp; Owners'!$H$11*F161,0)</f>
        <v>2550</v>
      </c>
      <c r="X161" s="81" t="n">
        <f aca="false">IF(C161='W Budget &amp; Owners'!$I$11,'W Budget &amp; Owners'!$G$11*'W Sites'!$G$11,0)</f>
        <v>0</v>
      </c>
      <c r="Y161" s="112" t="n">
        <f aca="false">IF(SUM($G$156:$G$165)=0,0,'W Fees &amp; KPI'!$Q$21*G161/SUM($G$156:$G$165))</f>
        <v>5770.24716458333</v>
      </c>
      <c r="Z161" s="119" t="n">
        <f aca="false">IF(SUM($G$156:$G$165)=0,0,SUM('W Fees &amp; KPI'!$J$21,'W Fees &amp; KPI'!$M$21)*G161/SUM($G$156:$G$165))</f>
        <v>4611.25</v>
      </c>
      <c r="AA161" s="117" t="n">
        <f aca="false">T161-U161-Z161-Y161</f>
        <v>20978.7608354167</v>
      </c>
      <c r="AB161" s="119" t="n">
        <f aca="false">IF('W Fees &amp; KPI'!$D$21=0,0,T161-U161-Z161)</f>
        <v>26749.008</v>
      </c>
    </row>
    <row r="162" customFormat="false" ht="21" hidden="false" customHeight="true" outlineLevel="0" collapsed="false">
      <c r="C162" s="144" t="n">
        <f aca="false">46722</f>
        <v>46722</v>
      </c>
      <c r="D162" s="81" t="n">
        <f aca="false">2</f>
        <v>2</v>
      </c>
      <c r="E162" s="81" t="str">
        <f aca="false">'W Sites'!C12</f>
        <v>S07</v>
      </c>
      <c r="F162" s="145" t="n">
        <f aca="false">'W Sites'!$G$12*MAX(0,EOMONTH(C162,0)-MAX(C162,'W Sites'!$F$12)+1)/DAY(EOMONTH(C162,0))</f>
        <v>1</v>
      </c>
      <c r="G162" s="145" t="n">
        <f aca="false">'W Sites'!$G$12*MAX(0,EOMONTH(C162,0)-MAX(C162,'W Sites'!$F$12,'W Assumptions'!$D$58)+1)/DAY(EOMONTH(C162,0))</f>
        <v>1</v>
      </c>
      <c r="H162" s="81" t="n">
        <f aca="false">'W Sites'!$H$12*F162*'W Sites'!$I$12*IF(((YEAR(C162)-YEAR('W Sites'!$F$12))*12+MONTH(C162)-MONTH('W Sites'!$F$12))=0,'W Assumptions'!$D$62,IF(((YEAR(C162)-YEAR('W Sites'!$F$12))*12+MONTH(C162)-MONTH('W Sites'!$F$12))=1,'W Assumptions'!$D$63,1))*INDEX('W Assumptions'!$D$7:$F$7,1,D162)*INDEX('W Assumptions'!$D$32:$F$32,1,D162)*INDEX('W Assumptions'!$D$80:$D$91,MONTH(C162),1)/AVERAGE('W Assumptions'!$D$80:$D$91)</f>
        <v>1151.15</v>
      </c>
      <c r="I162" s="81" t="n">
        <f aca="false">H162*'W Sites'!$J$12/(1+'W Assumptions'!$D$39)*INDEX('W Assumptions'!$D$12:$F$12,1,D162)*INDEX('W Assumptions'!$D$33:$F$33,1,D162)</f>
        <v>61861.8</v>
      </c>
      <c r="J162" s="81" t="n">
        <f aca="false">H162*'W Sites'!$K$12/(1+'W Assumptions'!$D$39)*INDEX('W Assumptions'!$D$12:$F$12,1,D162)*INDEX('W Assumptions'!$D$33:$F$33,1,D162)</f>
        <v>3093.09</v>
      </c>
      <c r="K162" s="81" t="n">
        <f aca="false">'W Sites'!$L$12*F162*IF(((YEAR(C162)-YEAR('W Sites'!$F$12))*12+MONTH(C162)-MONTH('W Sites'!$F$12))=0,'W Assumptions'!$D$62,IF(((YEAR(C162)-YEAR('W Sites'!$F$12))*12+MONTH(C162)-MONTH('W Sites'!$F$12))=1,'W Assumptions'!$D$63,1))*INDEX('W Assumptions'!$D$7:$F$7,1,D162)*INDEX('W Assumptions'!$D$32:$F$32,1,D162)</f>
        <v>19800</v>
      </c>
      <c r="L162" s="81" t="n">
        <f aca="false">SUM(I162:K162)</f>
        <v>84754.89</v>
      </c>
      <c r="M162" s="81" t="n">
        <f aca="false">'W Site Costs'!$I$12*F162*INDEX('W Assumptions'!$D$34:$F$34,1,D162)*INDEX('W Assumptions'!$D$22:$F$22,1,D162)</f>
        <v>25027.8</v>
      </c>
      <c r="N162" s="81" t="n">
        <f aca="false">'W Site Costs'!$J$12*F162*INDEX('W Assumptions'!$D$35:$F$35,1,D162)*INDEX('W Assumptions'!$D$22:$F$22,1,D162)</f>
        <v>8320</v>
      </c>
      <c r="O162" s="81" t="n">
        <f aca="false">L162*'W Site Costs'!$K$12</f>
        <v>0</v>
      </c>
      <c r="P162" s="81" t="n">
        <f aca="false">SUM('W Site Costs'!$L$12:$Q$12)*F162*INDEX('W Assumptions'!$D$35:$F$35,1,D162)*INDEX('W Assumptions'!$D$22:$F$22,1,D162)</f>
        <v>8840</v>
      </c>
      <c r="Q162" s="81" t="n">
        <f aca="false">L162*'W Site Costs'!$R$12*INDEX('W Assumptions'!$D$17:$F$17,1,D162)</f>
        <v>8475.489</v>
      </c>
      <c r="R162" s="112" t="n">
        <f aca="false">L162*'W Sites'!$M$12</f>
        <v>0</v>
      </c>
      <c r="S162" s="81" t="n">
        <f aca="false">SUM(M162:R162)</f>
        <v>50663.289</v>
      </c>
      <c r="T162" s="81" t="n">
        <f aca="false">L162-S162</f>
        <v>34091.601</v>
      </c>
      <c r="U162" s="81" t="n">
        <f aca="false">IF(C162='W Budget &amp; Owners'!$I$12,'W Budget &amp; Owners'!$F$12*'W Sites'!$G$12,0)</f>
        <v>0</v>
      </c>
      <c r="V162" s="81" t="n">
        <f aca="false">'W Sites'!$G$12*'W Budget &amp; Owners'!$E$12*INDEX('W Assumptions'!$D$27:$F$27,1,D162)*(IF(C162='W Budget &amp; Owners'!$I$12,'W Assumptions'!$D$65,0)+IF(C162=DATE(YEAR('W Sites'!$F$12),MONTH('W Sites'!$F$12),1),1-'W Assumptions'!$D$65,0))+'W Sites'!$G$12*'W Budget &amp; Owners'!$E$12*IF(C162=DATE(2027,9,1),'W Assumptions'!$D$67,IF(C162=DATE(2028,9,1),'W Assumptions'!$D$69,0))</f>
        <v>0</v>
      </c>
      <c r="W162" s="81" t="n">
        <f aca="false">IF(((YEAR(C162)-YEAR('W Sites'!$F$12))*12+MONTH(C162)-MONTH('W Sites'!$F$12))&lt;'W Budget &amp; Owners'!$H$12,'W Budget &amp; Owners'!$E$12/'W Budget &amp; Owners'!$H$12*F162,0)+IF(C162&gt;=DATE(2027,9,1),'W Budget &amp; Owners'!$E$12*'W Assumptions'!$D$67/'W Budget &amp; Owners'!$H$12*F162,0)+IF(C162&gt;=DATE(2028,9,1),'W Budget &amp; Owners'!$E$12*'W Assumptions'!$D$69/'W Budget &amp; Owners'!$H$12*F162,0)</f>
        <v>7650</v>
      </c>
      <c r="X162" s="81" t="n">
        <f aca="false">IF(C162='W Budget &amp; Owners'!$I$12,'W Budget &amp; Owners'!$G$12*'W Sites'!$G$12,0)</f>
        <v>0</v>
      </c>
      <c r="Y162" s="112" t="n">
        <f aca="false">IF(SUM($G$156:$G$165)=0,0,'W Fees &amp; KPI'!$Q$21*G162/SUM($G$156:$G$165))</f>
        <v>5770.24716458333</v>
      </c>
      <c r="Z162" s="119" t="n">
        <f aca="false">IF(SUM($G$156:$G$165)=0,0,SUM('W Fees &amp; KPI'!$J$21,'W Fees &amp; KPI'!$M$21)*G162/SUM($G$156:$G$165))</f>
        <v>4611.25</v>
      </c>
      <c r="AA162" s="117" t="n">
        <f aca="false">T162-U162-Z162-Y162</f>
        <v>23710.1038354167</v>
      </c>
      <c r="AB162" s="119" t="n">
        <f aca="false">IF('W Fees &amp; KPI'!$D$21=0,0,T162-U162-Z162)</f>
        <v>29480.351</v>
      </c>
    </row>
    <row r="163" customFormat="false" ht="21" hidden="false" customHeight="true" outlineLevel="0" collapsed="false">
      <c r="C163" s="144" t="n">
        <f aca="false">46722</f>
        <v>46722</v>
      </c>
      <c r="D163" s="81" t="n">
        <f aca="false">2</f>
        <v>2</v>
      </c>
      <c r="E163" s="81" t="str">
        <f aca="false">'W Sites'!C13</f>
        <v>S08</v>
      </c>
      <c r="F163" s="145" t="n">
        <f aca="false">'W Sites'!$G$13*MAX(0,EOMONTH(C163,0)-MAX(C163,'W Sites'!$F$13)+1)/DAY(EOMONTH(C163,0))</f>
        <v>1</v>
      </c>
      <c r="G163" s="145" t="n">
        <f aca="false">'W Sites'!$G$13*MAX(0,EOMONTH(C163,0)-MAX(C163,'W Sites'!$F$13,'W Assumptions'!$D$58)+1)/DAY(EOMONTH(C163,0))</f>
        <v>1</v>
      </c>
      <c r="H163" s="81" t="n">
        <f aca="false">'W Sites'!$H$13*F163*'W Sites'!$I$13*IF(((YEAR(C163)-YEAR('W Sites'!$F$13))*12+MONTH(C163)-MONTH('W Sites'!$F$13))=0,'W Assumptions'!$D$62,IF(((YEAR(C163)-YEAR('W Sites'!$F$13))*12+MONTH(C163)-MONTH('W Sites'!$F$13))=1,'W Assumptions'!$D$63,1))*INDEX('W Assumptions'!$D$7:$F$7,1,D163)*INDEX('W Assumptions'!$D$32:$F$32,1,D163)*INDEX('W Assumptions'!$D$80:$D$91,MONTH(C163),1)/AVERAGE('W Assumptions'!$D$80:$D$91)</f>
        <v>4933.5</v>
      </c>
      <c r="I163" s="81" t="n">
        <f aca="false">H163*'W Sites'!$J$13/(1+'W Assumptions'!$D$39)*INDEX('W Assumptions'!$D$12:$F$12,1,D163)*INDEX('W Assumptions'!$D$33:$F$33,1,D163)</f>
        <v>176748</v>
      </c>
      <c r="J163" s="81" t="n">
        <f aca="false">H163*'W Sites'!$K$13/(1+'W Assumptions'!$D$39)*INDEX('W Assumptions'!$D$12:$F$12,1,D163)*INDEX('W Assumptions'!$D$33:$F$33,1,D163)</f>
        <v>22093.5</v>
      </c>
      <c r="K163" s="81" t="n">
        <f aca="false">'W Sites'!$L$13*F163*IF(((YEAR(C163)-YEAR('W Sites'!$F$13))*12+MONTH(C163)-MONTH('W Sites'!$F$13))=0,'W Assumptions'!$D$62,IF(((YEAR(C163)-YEAR('W Sites'!$F$13))*12+MONTH(C163)-MONTH('W Sites'!$F$13))=1,'W Assumptions'!$D$63,1))*INDEX('W Assumptions'!$D$7:$F$7,1,D163)*INDEX('W Assumptions'!$D$32:$F$32,1,D163)</f>
        <v>16500</v>
      </c>
      <c r="L163" s="81" t="n">
        <f aca="false">SUM(I163:K163)</f>
        <v>215341.5</v>
      </c>
      <c r="M163" s="81" t="n">
        <f aca="false">'W Site Costs'!$I$13*F163*INDEX('W Assumptions'!$D$34:$F$34,1,D163)*INDEX('W Assumptions'!$D$22:$F$22,1,D163)</f>
        <v>56002.8</v>
      </c>
      <c r="N163" s="81" t="n">
        <f aca="false">'W Site Costs'!$J$13*F163*INDEX('W Assumptions'!$D$35:$F$35,1,D163)*INDEX('W Assumptions'!$D$22:$F$22,1,D163)</f>
        <v>0</v>
      </c>
      <c r="O163" s="81" t="n">
        <f aca="false">L163*'W Site Costs'!$K$13</f>
        <v>21534.15</v>
      </c>
      <c r="P163" s="81" t="n">
        <f aca="false">SUM('W Site Costs'!$L$13:$Q$13)*F163*INDEX('W Assumptions'!$D$35:$F$35,1,D163)*INDEX('W Assumptions'!$D$22:$F$22,1,D163)</f>
        <v>26520</v>
      </c>
      <c r="Q163" s="81" t="n">
        <f aca="false">L163*'W Site Costs'!$R$13*INDEX('W Assumptions'!$D$17:$F$17,1,D163)</f>
        <v>17227.32</v>
      </c>
      <c r="R163" s="112" t="n">
        <f aca="false">L163*'W Sites'!$M$13</f>
        <v>0</v>
      </c>
      <c r="S163" s="81" t="n">
        <f aca="false">SUM(M163:R163)</f>
        <v>121284.27</v>
      </c>
      <c r="T163" s="81" t="n">
        <f aca="false">L163-S163</f>
        <v>94057.23</v>
      </c>
      <c r="U163" s="81" t="n">
        <f aca="false">IF(C163='W Budget &amp; Owners'!$I$13,'W Budget &amp; Owners'!$F$13*'W Sites'!$G$13,0)</f>
        <v>0</v>
      </c>
      <c r="V163" s="81" t="n">
        <f aca="false">'W Sites'!$G$13*'W Budget &amp; Owners'!$E$13*INDEX('W Assumptions'!$D$27:$F$27,1,D163)*(IF(C163='W Budget &amp; Owners'!$I$13,'W Assumptions'!$D$65,0)+IF(C163=DATE(YEAR('W Sites'!$F$13),MONTH('W Sites'!$F$13),1),1-'W Assumptions'!$D$65,0))+'W Sites'!$G$13*'W Budget &amp; Owners'!$E$13*IF(C163=DATE(2027,9,1),'W Assumptions'!$D$67,IF(C163=DATE(2028,9,1),'W Assumptions'!$D$69,0))</f>
        <v>0</v>
      </c>
      <c r="W163" s="81" t="n">
        <f aca="false">IF(((YEAR(C163)-YEAR('W Sites'!$F$13))*12+MONTH(C163)-MONTH('W Sites'!$F$13))&lt;'W Budget &amp; Owners'!$H$13,'W Budget &amp; Owners'!$E$13/'W Budget &amp; Owners'!$H$13*F163,0)+IF(C163&gt;=DATE(2027,9,1),'W Budget &amp; Owners'!$E$13*'W Assumptions'!$D$67/'W Budget &amp; Owners'!$H$13*F163,0)+IF(C163&gt;=DATE(2028,9,1),'W Budget &amp; Owners'!$E$13*'W Assumptions'!$D$69/'W Budget &amp; Owners'!$H$13*F163,0)</f>
        <v>20400</v>
      </c>
      <c r="X163" s="81" t="n">
        <f aca="false">IF(C163='W Budget &amp; Owners'!$I$13,'W Budget &amp; Owners'!$G$13*'W Sites'!$G$13,0)</f>
        <v>0</v>
      </c>
      <c r="Y163" s="112" t="n">
        <f aca="false">IF(SUM($G$156:$G$165)=0,0,'W Fees &amp; KPI'!$Q$21*G163/SUM($G$156:$G$165))</f>
        <v>5770.24716458333</v>
      </c>
      <c r="Z163" s="119" t="n">
        <f aca="false">IF(SUM($G$156:$G$165)=0,0,SUM('W Fees &amp; KPI'!$J$21,'W Fees &amp; KPI'!$M$21)*G163/SUM($G$156:$G$165))</f>
        <v>4611.25</v>
      </c>
      <c r="AA163" s="117" t="n">
        <f aca="false">T163-U163-Z163-Y163</f>
        <v>83675.7328354167</v>
      </c>
      <c r="AB163" s="119" t="n">
        <f aca="false">IF('W Fees &amp; KPI'!$D$21=0,0,T163-U163-Z163)</f>
        <v>89445.98</v>
      </c>
    </row>
    <row r="164" customFormat="false" ht="21" hidden="false" customHeight="true" outlineLevel="0" collapsed="false">
      <c r="C164" s="144" t="n">
        <f aca="false">46722</f>
        <v>46722</v>
      </c>
      <c r="D164" s="81" t="n">
        <f aca="false">2</f>
        <v>2</v>
      </c>
      <c r="E164" s="81" t="str">
        <f aca="false">'W Sites'!C14</f>
        <v>S09</v>
      </c>
      <c r="F164" s="145" t="n">
        <f aca="false">'W Sites'!$G$14*MAX(0,EOMONTH(C164,0)-MAX(C164,'W Sites'!$F$14)+1)/DAY(EOMONTH(C164,0))</f>
        <v>0</v>
      </c>
      <c r="G164" s="145" t="n">
        <f aca="false">'W Sites'!$G$14*MAX(0,EOMONTH(C164,0)-MAX(C164,'W Sites'!$F$14,'W Assumptions'!$D$58)+1)/DAY(EOMONTH(C164,0))</f>
        <v>0</v>
      </c>
      <c r="H164" s="81" t="n">
        <f aca="false">'W Sites'!$H$14*F164*'W Sites'!$I$14*IF(((YEAR(C164)-YEAR('W Sites'!$F$14))*12+MONTH(C164)-MONTH('W Sites'!$F$14))=0,'W Assumptions'!$D$62,IF(((YEAR(C164)-YEAR('W Sites'!$F$14))*12+MONTH(C164)-MONTH('W Sites'!$F$14))=1,'W Assumptions'!$D$63,1))*INDEX('W Assumptions'!$D$7:$F$7,1,D164)*INDEX('W Assumptions'!$D$32:$F$32,1,D164)*INDEX('W Assumptions'!$D$80:$D$91,MONTH(C164),1)/AVERAGE('W Assumptions'!$D$80:$D$91)</f>
        <v>0</v>
      </c>
      <c r="I164" s="81" t="n">
        <f aca="false">H164*'W Sites'!$J$14/(1+'W Assumptions'!$D$39)*INDEX('W Assumptions'!$D$12:$F$12,1,D164)*INDEX('W Assumptions'!$D$33:$F$33,1,D164)</f>
        <v>0</v>
      </c>
      <c r="J164" s="81" t="n">
        <f aca="false">H164*'W Sites'!$K$14/(1+'W Assumptions'!$D$39)*INDEX('W Assumptions'!$D$12:$F$12,1,D164)*INDEX('W Assumptions'!$D$33:$F$33,1,D164)</f>
        <v>0</v>
      </c>
      <c r="K164" s="81" t="n">
        <f aca="false">'W Sites'!$L$14*F164*IF(((YEAR(C164)-YEAR('W Sites'!$F$14))*12+MONTH(C164)-MONTH('W Sites'!$F$14))=0,'W Assumptions'!$D$62,IF(((YEAR(C164)-YEAR('W Sites'!$F$14))*12+MONTH(C164)-MONTH('W Sites'!$F$14))=1,'W Assumptions'!$D$63,1))*INDEX('W Assumptions'!$D$7:$F$7,1,D164)*INDEX('W Assumptions'!$D$32:$F$32,1,D164)</f>
        <v>0</v>
      </c>
      <c r="L164" s="81" t="n">
        <f aca="false">SUM(I164:K164)</f>
        <v>0</v>
      </c>
      <c r="M164" s="81" t="n">
        <f aca="false">'W Site Costs'!$I$14*F164*INDEX('W Assumptions'!$D$34:$F$34,1,D164)*INDEX('W Assumptions'!$D$22:$F$22,1,D164)</f>
        <v>0</v>
      </c>
      <c r="N164" s="81" t="n">
        <f aca="false">'W Site Costs'!$J$14*F164*INDEX('W Assumptions'!$D$35:$F$35,1,D164)*INDEX('W Assumptions'!$D$22:$F$22,1,D164)</f>
        <v>0</v>
      </c>
      <c r="O164" s="81" t="n">
        <f aca="false">L164*'W Site Costs'!$K$14</f>
        <v>0</v>
      </c>
      <c r="P164" s="81" t="n">
        <f aca="false">SUM('W Site Costs'!$L$14:$Q$14)*F164*INDEX('W Assumptions'!$D$35:$F$35,1,D164)*INDEX('W Assumptions'!$D$22:$F$22,1,D164)</f>
        <v>0</v>
      </c>
      <c r="Q164" s="81" t="n">
        <f aca="false">L164*'W Site Costs'!$R$14*INDEX('W Assumptions'!$D$17:$F$17,1,D164)</f>
        <v>0</v>
      </c>
      <c r="R164" s="112" t="n">
        <f aca="false">L164*'W Sites'!$M$14</f>
        <v>0</v>
      </c>
      <c r="S164" s="81" t="n">
        <f aca="false">SUM(M164:R164)</f>
        <v>0</v>
      </c>
      <c r="T164" s="81" t="n">
        <f aca="false">L164-S164</f>
        <v>0</v>
      </c>
      <c r="U164" s="81" t="n">
        <f aca="false">IF(C164='W Budget &amp; Owners'!$I$14,'W Budget &amp; Owners'!$F$14*'W Sites'!$G$14,0)</f>
        <v>0</v>
      </c>
      <c r="V164" s="81" t="n">
        <f aca="false">'W Sites'!$G$14*'W Budget &amp; Owners'!$E$14*INDEX('W Assumptions'!$D$27:$F$27,1,D164)*(IF(C164='W Budget &amp; Owners'!$I$14,'W Assumptions'!$D$65,0)+IF(C164=DATE(YEAR('W Sites'!$F$14),MONTH('W Sites'!$F$14),1),1-'W Assumptions'!$D$65,0))+'W Sites'!$G$14*'W Budget &amp; Owners'!$E$14*IF(C164=DATE(2027,9,1),'W Assumptions'!$D$67,IF(C164=DATE(2028,9,1),'W Assumptions'!$D$69,0))</f>
        <v>0</v>
      </c>
      <c r="W164" s="81" t="n">
        <f aca="false">IF(((YEAR(C164)-YEAR('W Sites'!$F$14))*12+MONTH(C164)-MONTH('W Sites'!$F$14))&lt;'W Budget &amp; Owners'!$H$14,'W Budget &amp; Owners'!$E$14/'W Budget &amp; Owners'!$H$14*F164,0)+IF(C164&gt;=DATE(2027,9,1),'W Budget &amp; Owners'!$E$14*'W Assumptions'!$D$67/'W Budget &amp; Owners'!$H$14*F164,0)+IF(C164&gt;=DATE(2028,9,1),'W Budget &amp; Owners'!$E$14*'W Assumptions'!$D$69/'W Budget &amp; Owners'!$H$14*F164,0)</f>
        <v>0</v>
      </c>
      <c r="X164" s="81" t="n">
        <f aca="false">IF(C164='W Budget &amp; Owners'!$I$14,'W Budget &amp; Owners'!$G$14*'W Sites'!$G$14,0)</f>
        <v>0</v>
      </c>
      <c r="Y164" s="112" t="n">
        <f aca="false">IF(SUM($G$156:$G$165)=0,0,'W Fees &amp; KPI'!$Q$21*G164/SUM($G$156:$G$165))</f>
        <v>0</v>
      </c>
      <c r="Z164" s="119" t="n">
        <f aca="false">IF(SUM($G$156:$G$165)=0,0,SUM('W Fees &amp; KPI'!$J$21,'W Fees &amp; KPI'!$M$21)*G164/SUM($G$156:$G$165))</f>
        <v>0</v>
      </c>
      <c r="AA164" s="117" t="n">
        <f aca="false">T164-U164-Z164-Y164</f>
        <v>0</v>
      </c>
      <c r="AB164" s="119" t="n">
        <f aca="false">IF('W Fees &amp; KPI'!$D$21=0,0,T164-U164-Z164)</f>
        <v>0</v>
      </c>
    </row>
    <row r="165" customFormat="false" ht="21" hidden="false" customHeight="true" outlineLevel="0" collapsed="false">
      <c r="C165" s="144" t="n">
        <f aca="false">46722</f>
        <v>46722</v>
      </c>
      <c r="D165" s="81" t="n">
        <f aca="false">2</f>
        <v>2</v>
      </c>
      <c r="E165" s="81" t="str">
        <f aca="false">'W Sites'!C15</f>
        <v>S10</v>
      </c>
      <c r="F165" s="145" t="n">
        <f aca="false">'W Sites'!$G$15*MAX(0,EOMONTH(C165,0)-MAX(C165,'W Sites'!$F$15)+1)/DAY(EOMONTH(C165,0))</f>
        <v>0</v>
      </c>
      <c r="G165" s="145" t="n">
        <f aca="false">'W Sites'!$G$15*MAX(0,EOMONTH(C165,0)-MAX(C165,'W Sites'!$F$15,'W Assumptions'!$D$58)+1)/DAY(EOMONTH(C165,0))</f>
        <v>0</v>
      </c>
      <c r="H165" s="81" t="n">
        <f aca="false">'W Sites'!$H$15*F165*'W Sites'!$I$15*IF(((YEAR(C165)-YEAR('W Sites'!$F$15))*12+MONTH(C165)-MONTH('W Sites'!$F$15))=0,'W Assumptions'!$D$62,IF(((YEAR(C165)-YEAR('W Sites'!$F$15))*12+MONTH(C165)-MONTH('W Sites'!$F$15))=1,'W Assumptions'!$D$63,1))*INDEX('W Assumptions'!$D$7:$F$7,1,D165)*INDEX('W Assumptions'!$D$32:$F$32,1,D165)*INDEX('W Assumptions'!$D$80:$D$91,MONTH(C165),1)/AVERAGE('W Assumptions'!$D$80:$D$91)</f>
        <v>0</v>
      </c>
      <c r="I165" s="81" t="n">
        <f aca="false">H165*'W Sites'!$J$15/(1+'W Assumptions'!$D$39)*INDEX('W Assumptions'!$D$12:$F$12,1,D165)*INDEX('W Assumptions'!$D$33:$F$33,1,D165)</f>
        <v>0</v>
      </c>
      <c r="J165" s="81" t="n">
        <f aca="false">H165*'W Sites'!$K$15/(1+'W Assumptions'!$D$39)*INDEX('W Assumptions'!$D$12:$F$12,1,D165)*INDEX('W Assumptions'!$D$33:$F$33,1,D165)</f>
        <v>0</v>
      </c>
      <c r="K165" s="81" t="n">
        <f aca="false">'W Sites'!$L$15*F165*IF(((YEAR(C165)-YEAR('W Sites'!$F$15))*12+MONTH(C165)-MONTH('W Sites'!$F$15))=0,'W Assumptions'!$D$62,IF(((YEAR(C165)-YEAR('W Sites'!$F$15))*12+MONTH(C165)-MONTH('W Sites'!$F$15))=1,'W Assumptions'!$D$63,1))*INDEX('W Assumptions'!$D$7:$F$7,1,D165)*INDEX('W Assumptions'!$D$32:$F$32,1,D165)</f>
        <v>0</v>
      </c>
      <c r="L165" s="81" t="n">
        <f aca="false">SUM(I165:K165)</f>
        <v>0</v>
      </c>
      <c r="M165" s="81" t="n">
        <f aca="false">'W Site Costs'!$I$15*F165*INDEX('W Assumptions'!$D$34:$F$34,1,D165)*INDEX('W Assumptions'!$D$22:$F$22,1,D165)</f>
        <v>0</v>
      </c>
      <c r="N165" s="81" t="n">
        <f aca="false">'W Site Costs'!$J$15*F165*INDEX('W Assumptions'!$D$35:$F$35,1,D165)*INDEX('W Assumptions'!$D$22:$F$22,1,D165)</f>
        <v>0</v>
      </c>
      <c r="O165" s="81" t="n">
        <f aca="false">L165*'W Site Costs'!$K$15</f>
        <v>0</v>
      </c>
      <c r="P165" s="81" t="n">
        <f aca="false">SUM('W Site Costs'!$L$15:$Q$15)*F165*INDEX('W Assumptions'!$D$35:$F$35,1,D165)*INDEX('W Assumptions'!$D$22:$F$22,1,D165)</f>
        <v>0</v>
      </c>
      <c r="Q165" s="81" t="n">
        <f aca="false">L165*'W Site Costs'!$R$15*INDEX('W Assumptions'!$D$17:$F$17,1,D165)</f>
        <v>0</v>
      </c>
      <c r="R165" s="112" t="n">
        <f aca="false">L165*'W Sites'!$M$15</f>
        <v>0</v>
      </c>
      <c r="S165" s="81" t="n">
        <f aca="false">SUM(M165:R165)</f>
        <v>0</v>
      </c>
      <c r="T165" s="81" t="n">
        <f aca="false">L165-S165</f>
        <v>0</v>
      </c>
      <c r="U165" s="81" t="n">
        <f aca="false">IF(C165='W Budget &amp; Owners'!$I$15,'W Budget &amp; Owners'!$F$15*'W Sites'!$G$15,0)</f>
        <v>0</v>
      </c>
      <c r="V165" s="81" t="n">
        <f aca="false">'W Sites'!$G$15*'W Budget &amp; Owners'!$E$15*INDEX('W Assumptions'!$D$27:$F$27,1,D165)*(IF(C165='W Budget &amp; Owners'!$I$15,'W Assumptions'!$D$65,0)+IF(C165=DATE(YEAR('W Sites'!$F$15),MONTH('W Sites'!$F$15),1),1-'W Assumptions'!$D$65,0))+'W Sites'!$G$15*'W Budget &amp; Owners'!$E$15*IF(C165=DATE(2027,9,1),'W Assumptions'!$D$67,IF(C165=DATE(2028,9,1),'W Assumptions'!$D$69,0))</f>
        <v>0</v>
      </c>
      <c r="W165" s="81" t="n">
        <f aca="false">IF(((YEAR(C165)-YEAR('W Sites'!$F$15))*12+MONTH(C165)-MONTH('W Sites'!$F$15))&lt;'W Budget &amp; Owners'!$H$15,'W Budget &amp; Owners'!$E$15/'W Budget &amp; Owners'!$H$15*F165,0)+IF(C165&gt;=DATE(2027,9,1),'W Budget &amp; Owners'!$E$15*'W Assumptions'!$D$67/'W Budget &amp; Owners'!$H$15*F165,0)+IF(C165&gt;=DATE(2028,9,1),'W Budget &amp; Owners'!$E$15*'W Assumptions'!$D$69/'W Budget &amp; Owners'!$H$15*F165,0)</f>
        <v>0</v>
      </c>
      <c r="X165" s="81" t="n">
        <f aca="false">IF(C165='W Budget &amp; Owners'!$I$15,'W Budget &amp; Owners'!$G$15*'W Sites'!$G$15,0)</f>
        <v>0</v>
      </c>
      <c r="Y165" s="112" t="n">
        <f aca="false">IF(SUM($G$156:$G$165)=0,0,'W Fees &amp; KPI'!$Q$21*G165/SUM($G$156:$G$165))</f>
        <v>0</v>
      </c>
      <c r="Z165" s="119" t="n">
        <f aca="false">IF(SUM($G$156:$G$165)=0,0,SUM('W Fees &amp; KPI'!$J$21,'W Fees &amp; KPI'!$M$21)*G165/SUM($G$156:$G$165))</f>
        <v>0</v>
      </c>
      <c r="AA165" s="117" t="n">
        <f aca="false">T165-U165-Z165-Y165</f>
        <v>0</v>
      </c>
      <c r="AB165" s="119" t="n">
        <f aca="false">IF('W Fees &amp; KPI'!$D$21=0,0,T165-U165-Z165)</f>
        <v>0</v>
      </c>
    </row>
    <row r="166" customFormat="false" ht="21" hidden="false" customHeight="true" outlineLevel="0" collapsed="false">
      <c r="C166" s="144" t="n">
        <f aca="false">46753</f>
        <v>46753</v>
      </c>
      <c r="D166" s="81" t="n">
        <f aca="false">2</f>
        <v>2</v>
      </c>
      <c r="E166" s="81" t="str">
        <f aca="false">'W Sites'!C6</f>
        <v>S01</v>
      </c>
      <c r="F166" s="145" t="n">
        <f aca="false">'W Sites'!$G$6*MAX(0,EOMONTH(C166,0)-MAX(C166,'W Sites'!$F$6)+1)/DAY(EOMONTH(C166,0))</f>
        <v>1</v>
      </c>
      <c r="G166" s="145" t="n">
        <f aca="false">'W Sites'!$G$6*MAX(0,EOMONTH(C166,0)-MAX(C166,'W Sites'!$F$6,'W Assumptions'!$D$58)+1)/DAY(EOMONTH(C166,0))</f>
        <v>1</v>
      </c>
      <c r="H166" s="81" t="n">
        <f aca="false">'W Sites'!$D$45*INDEX('W Sites'!$E$65:$E$76,MONTH(C166),1)/SUM('W Sites'!$E$65:$E$76)*F166*(1+'W Sites'!$D$56)^(D166-1)*INDEX('W Assumptions'!$D$7:$F$7,1,D166)</f>
        <v>4969.28</v>
      </c>
      <c r="I166" s="81" t="n">
        <f aca="false">H166*'W Sites'!$D$46/(1+'W Sites'!$D$54*'W Assumptions'!$D$39)*INDEX('W Assumptions'!$D$12:$F$12,1,D166)</f>
        <v>273310.4</v>
      </c>
      <c r="J166" s="81" t="n">
        <f aca="false">H166*SUM('W Sites'!$D$47:$D$49)/(1+'W Sites'!$D$54*'W Assumptions'!$D$39)*INDEX('W Assumptions'!$D$12:$F$12,1,D166)</f>
        <v>149078.4</v>
      </c>
      <c r="K166" s="81" t="n">
        <f aca="false">SUM('W Sites'!$D$50:$D$52)/12*F166*(1+'W Sites'!$D$56)^(D166-1)*INDEX('W Assumptions'!$D$7:$F$7,1,D166)*INDEX('W Assumptions'!$D$12:$F$12,1,D166)/(1+'W Sites'!$D$54*'W Assumptions'!$D$39)</f>
        <v>35333.3333333333</v>
      </c>
      <c r="L166" s="81" t="n">
        <f aca="false">SUM(I166:K166)</f>
        <v>457722.133333333</v>
      </c>
      <c r="M166" s="81" t="n">
        <f aca="false">('W Site Costs'!$I$6+INDEX('W Sites'!$F$65:$F$76,MONTH(C166),1)*'W Site Costs'!$V$6)*F166*(1+'W Sites'!$D$58)^(D166-1)*INDEX('W Assumptions'!$D$22:$F$22,1,D166)</f>
        <v>112840</v>
      </c>
      <c r="N166" s="81" t="n">
        <f aca="false">'W Site Costs'!$J$6*F166*INDEX('W Assumptions'!$D$35:$F$35,1,D166)*INDEX('W Assumptions'!$D$22:$F$22,1,D166)</f>
        <v>15600</v>
      </c>
      <c r="O166" s="81" t="n">
        <f aca="false">L166*'W Site Costs'!$K$6</f>
        <v>0</v>
      </c>
      <c r="P166" s="81" t="n">
        <f aca="false">(SUM('W Site Costs'!$L$6:$Q$6)+INDEX('W Sites'!$F$65:$F$76,MONTH(C166),1)*'W Site Costs'!$W$6)*F166*(1+'W Sites'!$D$58)^(D166-1)*INDEX('W Assumptions'!$D$22:$F$22,1,D166)</f>
        <v>76960</v>
      </c>
      <c r="Q166" s="81" t="n">
        <f aca="false">('W Site Costs'!$X$6+INDEX('W Sites'!$F$65:$F$76,MONTH(C166),1)*'W Site Costs'!$Y$6)*F166*(1+'W Sites'!$D$58)^(D166-1)*INDEX('W Assumptions'!$D$17:$F$17,1,D166)</f>
        <v>18720</v>
      </c>
      <c r="R166" s="112" t="n">
        <f aca="false">L166*'W Sites'!$M$6</f>
        <v>0</v>
      </c>
      <c r="S166" s="81" t="n">
        <f aca="false">SUM(M166:R166)</f>
        <v>224120</v>
      </c>
      <c r="T166" s="81" t="n">
        <f aca="false">L166-S166</f>
        <v>233602.133333333</v>
      </c>
      <c r="U166" s="81" t="n">
        <f aca="false">IF(C166='W Budget &amp; Owners'!$I$6,'W Budget &amp; Owners'!$F$6*'W Sites'!$G$6,0)</f>
        <v>0</v>
      </c>
      <c r="V166" s="81" t="n">
        <f aca="false">'W Sites'!$G$6*'W Budget &amp; Owners'!$E$6*INDEX('W Assumptions'!$D$27:$F$27,1,D166)*(IF(C166='W Budget &amp; Owners'!$I$6,'W Assumptions'!$D$65,0)+IF(C166=DATE(YEAR('W Sites'!$F$6),MONTH('W Sites'!$F$6),1),1-'W Assumptions'!$D$65,0))+'W Sites'!$G$6*'W Budget &amp; Owners'!$E$6*IF(C166=DATE(2027,9,1),'W Assumptions'!$D$67,IF(C166=DATE(2028,9,1),'W Assumptions'!$D$69,0))</f>
        <v>0</v>
      </c>
      <c r="W166" s="81" t="n">
        <f aca="false">IF(((YEAR(C166)-YEAR('W Sites'!$F$6))*12+MONTH(C166)-MONTH('W Sites'!$F$6))&lt;'W Budget &amp; Owners'!$H$6,'W Budget &amp; Owners'!$E$6/'W Budget &amp; Owners'!$H$6*F166,0)+IF(C166&gt;=DATE(2027,9,1),'W Budget &amp; Owners'!$E$6*'W Assumptions'!$D$67/'W Budget &amp; Owners'!$H$6*F166,0)+IF(C166&gt;=DATE(2028,9,1),'W Budget &amp; Owners'!$E$6*'W Assumptions'!$D$69/'W Budget &amp; Owners'!$H$6*F166,0)</f>
        <v>5950</v>
      </c>
      <c r="X166" s="81" t="n">
        <f aca="false">IF(C166='W Budget &amp; Owners'!$I$6,'W Budget &amp; Owners'!$G$6*'W Sites'!$G$6,0)</f>
        <v>0</v>
      </c>
      <c r="Y166" s="112" t="n">
        <f aca="false">IF(SUM($G$166:$G$175)=0,0,'W Fees &amp; KPI'!$Q$22*G166/SUM($G$166:$G$175))</f>
        <v>3959.60634230073</v>
      </c>
      <c r="Z166" s="119" t="n">
        <f aca="false">IF(SUM($G$166:$G$175)=0,0,SUM('W Fees &amp; KPI'!$J$22,'W Fees &amp; KPI'!$M$22)*G166/SUM($G$166:$G$175))</f>
        <v>4611.25</v>
      </c>
      <c r="AA166" s="117" t="n">
        <f aca="false">T166-U166-Z166-Y166</f>
        <v>225031.276991033</v>
      </c>
      <c r="AB166" s="119" t="n">
        <f aca="false">IF('W Fees &amp; KPI'!$D$22=0,0,T166-U166-Z166)</f>
        <v>228990.883333333</v>
      </c>
    </row>
    <row r="167" customFormat="false" ht="21" hidden="false" customHeight="true" outlineLevel="0" collapsed="false">
      <c r="C167" s="144" t="n">
        <f aca="false">46753</f>
        <v>46753</v>
      </c>
      <c r="D167" s="81" t="n">
        <f aca="false">2</f>
        <v>2</v>
      </c>
      <c r="E167" s="81" t="str">
        <f aca="false">'W Sites'!C7</f>
        <v>S02</v>
      </c>
      <c r="F167" s="145" t="n">
        <f aca="false">'W Sites'!$G$7*MAX(0,EOMONTH(C167,0)-MAX(C167,'W Sites'!$F$7)+1)/DAY(EOMONTH(C167,0))</f>
        <v>1</v>
      </c>
      <c r="G167" s="145" t="n">
        <f aca="false">'W Sites'!$G$7*MAX(0,EOMONTH(C167,0)-MAX(C167,'W Sites'!$F$7,'W Assumptions'!$D$58)+1)/DAY(EOMONTH(C167,0))</f>
        <v>1</v>
      </c>
      <c r="H167" s="81" t="n">
        <f aca="false">'W Sites'!$H$7*F167*'W Sites'!$I$7*IF(((YEAR(C167)-YEAR('W Sites'!$F$7))*12+MONTH(C167)-MONTH('W Sites'!$F$7))=0,'W Assumptions'!$D$62,IF(((YEAR(C167)-YEAR('W Sites'!$F$7))*12+MONTH(C167)-MONTH('W Sites'!$F$7))=1,'W Assumptions'!$D$63,1))*INDEX('W Assumptions'!$D$7:$F$7,1,D167)*INDEX('W Assumptions'!$D$32:$F$32,1,D167)*INDEX('W Assumptions'!$D$80:$D$91,MONTH(C167),1)/AVERAGE('W Assumptions'!$D$80:$D$91)</f>
        <v>2425.5</v>
      </c>
      <c r="I167" s="81" t="n">
        <f aca="false">H167*'W Sites'!$J$7/(1+'W Assumptions'!$D$39)*INDEX('W Assumptions'!$D$12:$F$12,1,D167)*INDEX('W Assumptions'!$D$33:$F$33,1,D167)</f>
        <v>76034.1521739131</v>
      </c>
      <c r="J167" s="81" t="n">
        <f aca="false">H167*'W Sites'!$K$7/(1+'W Assumptions'!$D$39)*INDEX('W Assumptions'!$D$12:$F$12,1,D167)*INDEX('W Assumptions'!$D$33:$F$33,1,D167)</f>
        <v>6517.21304347826</v>
      </c>
      <c r="K167" s="81" t="n">
        <f aca="false">'W Sites'!$L$7*F167*IF(((YEAR(C167)-YEAR('W Sites'!$F$7))*12+MONTH(C167)-MONTH('W Sites'!$F$7))=0,'W Assumptions'!$D$62,IF(((YEAR(C167)-YEAR('W Sites'!$F$7))*12+MONTH(C167)-MONTH('W Sites'!$F$7))=1,'W Assumptions'!$D$63,1))*INDEX('W Assumptions'!$D$7:$F$7,1,D167)*INDEX('W Assumptions'!$D$32:$F$32,1,D167)</f>
        <v>5500</v>
      </c>
      <c r="L167" s="81" t="n">
        <f aca="false">SUM(I167:K167)</f>
        <v>88051.3652173913</v>
      </c>
      <c r="M167" s="81" t="n">
        <f aca="false">'W Site Costs'!$I$7*F167*INDEX('W Assumptions'!$D$34:$F$34,1,D167)*INDEX('W Assumptions'!$D$22:$F$22,1,D167)</f>
        <v>34072.5</v>
      </c>
      <c r="N167" s="81" t="n">
        <f aca="false">'W Site Costs'!$J$7*F167*INDEX('W Assumptions'!$D$35:$F$35,1,D167)*INDEX('W Assumptions'!$D$22:$F$22,1,D167)</f>
        <v>0</v>
      </c>
      <c r="O167" s="81" t="n">
        <f aca="false">L167*'W Site Costs'!$K$7</f>
        <v>13207.7047826087</v>
      </c>
      <c r="P167" s="81" t="n">
        <f aca="false">SUM('W Site Costs'!$L$7:$Q$7)*F167*INDEX('W Assumptions'!$D$35:$F$35,1,D167)*INDEX('W Assumptions'!$D$22:$F$22,1,D167)</f>
        <v>12168</v>
      </c>
      <c r="Q167" s="81" t="n">
        <f aca="false">L167*'W Site Costs'!$R$7*INDEX('W Assumptions'!$D$17:$F$17,1,D167)</f>
        <v>5283.08191304348</v>
      </c>
      <c r="R167" s="112" t="n">
        <f aca="false">L167*'W Sites'!$M$7</f>
        <v>0</v>
      </c>
      <c r="S167" s="81" t="n">
        <f aca="false">SUM(M167:R167)</f>
        <v>64731.2866956522</v>
      </c>
      <c r="T167" s="81" t="n">
        <f aca="false">L167-S167</f>
        <v>23320.0785217391</v>
      </c>
      <c r="U167" s="81" t="n">
        <f aca="false">IF(C167='W Budget &amp; Owners'!$I$7,'W Budget &amp; Owners'!$F$7*'W Sites'!$G$7,0)</f>
        <v>0</v>
      </c>
      <c r="V167" s="81" t="n">
        <f aca="false">'W Sites'!$G$7*'W Budget &amp; Owners'!$E$7*INDEX('W Assumptions'!$D$27:$F$27,1,D167)*(IF(C167='W Budget &amp; Owners'!$I$7,'W Assumptions'!$D$65,0)+IF(C167=DATE(YEAR('W Sites'!$F$7),MONTH('W Sites'!$F$7),1),1-'W Assumptions'!$D$65,0))+'W Sites'!$G$7*'W Budget &amp; Owners'!$E$7*IF(C167=DATE(2027,9,1),'W Assumptions'!$D$67,IF(C167=DATE(2028,9,1),'W Assumptions'!$D$69,0))</f>
        <v>0</v>
      </c>
      <c r="W167" s="81" t="n">
        <f aca="false">IF(((YEAR(C167)-YEAR('W Sites'!$F$7))*12+MONTH(C167)-MONTH('W Sites'!$F$7))&lt;'W Budget &amp; Owners'!$H$7,'W Budget &amp; Owners'!$E$7/'W Budget &amp; Owners'!$H$7*F167,0)+IF(C167&gt;=DATE(2027,9,1),'W Budget &amp; Owners'!$E$7*'W Assumptions'!$D$67/'W Budget &amp; Owners'!$H$7*F167,0)+IF(C167&gt;=DATE(2028,9,1),'W Budget &amp; Owners'!$E$7*'W Assumptions'!$D$69/'W Budget &amp; Owners'!$H$7*F167,0)</f>
        <v>1360</v>
      </c>
      <c r="X167" s="81" t="n">
        <f aca="false">IF(C167='W Budget &amp; Owners'!$I$7,'W Budget &amp; Owners'!$G$7*'W Sites'!$G$7,0)</f>
        <v>0</v>
      </c>
      <c r="Y167" s="112" t="n">
        <f aca="false">IF(SUM($G$166:$G$175)=0,0,'W Fees &amp; KPI'!$Q$22*G167/SUM($G$166:$G$175))</f>
        <v>3959.60634230073</v>
      </c>
      <c r="Z167" s="119" t="n">
        <f aca="false">IF(SUM($G$166:$G$175)=0,0,SUM('W Fees &amp; KPI'!$J$22,'W Fees &amp; KPI'!$M$22)*G167/SUM($G$166:$G$175))</f>
        <v>4611.25</v>
      </c>
      <c r="AA167" s="117" t="n">
        <f aca="false">T167-U167-Z167-Y167</f>
        <v>14749.2221794384</v>
      </c>
      <c r="AB167" s="119" t="n">
        <f aca="false">IF('W Fees &amp; KPI'!$D$22=0,0,T167-U167-Z167)</f>
        <v>18708.8285217391</v>
      </c>
    </row>
    <row r="168" customFormat="false" ht="21" hidden="false" customHeight="true" outlineLevel="0" collapsed="false">
      <c r="C168" s="144" t="n">
        <f aca="false">46753</f>
        <v>46753</v>
      </c>
      <c r="D168" s="81" t="n">
        <f aca="false">2</f>
        <v>2</v>
      </c>
      <c r="E168" s="81" t="str">
        <f aca="false">'W Sites'!C8</f>
        <v>S03</v>
      </c>
      <c r="F168" s="145" t="n">
        <f aca="false">'W Sites'!$G$8*MAX(0,EOMONTH(C168,0)-MAX(C168,'W Sites'!$F$8)+1)/DAY(EOMONTH(C168,0))</f>
        <v>1</v>
      </c>
      <c r="G168" s="145" t="n">
        <f aca="false">'W Sites'!$G$8*MAX(0,EOMONTH(C168,0)-MAX(C168,'W Sites'!$F$8,'W Assumptions'!$D$58)+1)/DAY(EOMONTH(C168,0))</f>
        <v>1</v>
      </c>
      <c r="H168" s="81" t="n">
        <f aca="false">'W Sites'!$H$8*F168*'W Sites'!$I$8*IF(((YEAR(C168)-YEAR('W Sites'!$F$8))*12+MONTH(C168)-MONTH('W Sites'!$F$8))=0,'W Assumptions'!$D$62,IF(((YEAR(C168)-YEAR('W Sites'!$F$8))*12+MONTH(C168)-MONTH('W Sites'!$F$8))=1,'W Assumptions'!$D$63,1))*INDEX('W Assumptions'!$D$7:$F$7,1,D168)*INDEX('W Assumptions'!$D$32:$F$32,1,D168)*INDEX('W Assumptions'!$D$80:$D$91,MONTH(C168),1)/AVERAGE('W Assumptions'!$D$80:$D$91)</f>
        <v>3275.13698630137</v>
      </c>
      <c r="I168" s="81" t="n">
        <f aca="false">H168*'W Sites'!$J$8/(1+'W Assumptions'!$D$39)*INDEX('W Assumptions'!$D$12:$F$12,1,D168)*INDEX('W Assumptions'!$D$33:$F$33,1,D168)</f>
        <v>190669.931506849</v>
      </c>
      <c r="J168" s="81" t="n">
        <f aca="false">H168*'W Sites'!$K$8/(1+'W Assumptions'!$D$39)*INDEX('W Assumptions'!$D$12:$F$12,1,D168)*INDEX('W Assumptions'!$D$33:$F$33,1,D168)</f>
        <v>23467.0684931507</v>
      </c>
      <c r="K168" s="81" t="n">
        <f aca="false">'W Sites'!$L$8*F168*IF(((YEAR(C168)-YEAR('W Sites'!$F$8))*12+MONTH(C168)-MONTH('W Sites'!$F$8))=0,'W Assumptions'!$D$62,IF(((YEAR(C168)-YEAR('W Sites'!$F$8))*12+MONTH(C168)-MONTH('W Sites'!$F$8))=1,'W Assumptions'!$D$63,1))*INDEX('W Assumptions'!$D$7:$F$7,1,D168)*INDEX('W Assumptions'!$D$32:$F$32,1,D168)</f>
        <v>22000</v>
      </c>
      <c r="L168" s="81" t="n">
        <f aca="false">SUM(I168:K168)</f>
        <v>236137</v>
      </c>
      <c r="M168" s="81" t="n">
        <f aca="false">'W Site Costs'!$I$8*F168*INDEX('W Assumptions'!$D$34:$F$34,1,D168)*INDEX('W Assumptions'!$D$22:$F$22,1,D168)</f>
        <v>50427.3</v>
      </c>
      <c r="N168" s="81" t="n">
        <f aca="false">'W Site Costs'!$J$8*F168*INDEX('W Assumptions'!$D$35:$F$35,1,D168)*INDEX('W Assumptions'!$D$22:$F$22,1,D168)</f>
        <v>36400</v>
      </c>
      <c r="O168" s="81" t="n">
        <f aca="false">L168*'W Site Costs'!$K$8</f>
        <v>0</v>
      </c>
      <c r="P168" s="81" t="n">
        <f aca="false">SUM('W Site Costs'!$L$8:$Q$8)*F168*INDEX('W Assumptions'!$D$35:$F$35,1,D168)*INDEX('W Assumptions'!$D$22:$F$22,1,D168)</f>
        <v>20280</v>
      </c>
      <c r="Q168" s="81" t="n">
        <f aca="false">L168*'W Site Costs'!$R$8*INDEX('W Assumptions'!$D$17:$F$17,1,D168)</f>
        <v>18890.96</v>
      </c>
      <c r="R168" s="112" t="n">
        <f aca="false">L168*'W Sites'!$M$8</f>
        <v>0</v>
      </c>
      <c r="S168" s="81" t="n">
        <f aca="false">SUM(M168:R168)</f>
        <v>125998.26</v>
      </c>
      <c r="T168" s="81" t="n">
        <f aca="false">L168-S168</f>
        <v>110138.74</v>
      </c>
      <c r="U168" s="81" t="n">
        <f aca="false">IF(C168='W Budget &amp; Owners'!$I$8,'W Budget &amp; Owners'!$F$8*'W Sites'!$G$8,0)</f>
        <v>0</v>
      </c>
      <c r="V168" s="81" t="n">
        <f aca="false">'W Sites'!$G$8*'W Budget &amp; Owners'!$E$8*INDEX('W Assumptions'!$D$27:$F$27,1,D168)*(IF(C168='W Budget &amp; Owners'!$I$8,'W Assumptions'!$D$65,0)+IF(C168=DATE(YEAR('W Sites'!$F$8),MONTH('W Sites'!$F$8),1),1-'W Assumptions'!$D$65,0))+'W Sites'!$G$8*'W Budget &amp; Owners'!$E$8*IF(C168=DATE(2027,9,1),'W Assumptions'!$D$67,IF(C168=DATE(2028,9,1),'W Assumptions'!$D$69,0))</f>
        <v>0</v>
      </c>
      <c r="W168" s="81" t="n">
        <f aca="false">IF(((YEAR(C168)-YEAR('W Sites'!$F$8))*12+MONTH(C168)-MONTH('W Sites'!$F$8))&lt;'W Budget &amp; Owners'!$H$8,'W Budget &amp; Owners'!$E$8/'W Budget &amp; Owners'!$H$8*F168,0)+IF(C168&gt;=DATE(2027,9,1),'W Budget &amp; Owners'!$E$8*'W Assumptions'!$D$67/'W Budget &amp; Owners'!$H$8*F168,0)+IF(C168&gt;=DATE(2028,9,1),'W Budget &amp; Owners'!$E$8*'W Assumptions'!$D$69/'W Budget &amp; Owners'!$H$8*F168,0)</f>
        <v>10200</v>
      </c>
      <c r="X168" s="81" t="n">
        <f aca="false">IF(C168='W Budget &amp; Owners'!$I$8,'W Budget &amp; Owners'!$G$8*'W Sites'!$G$8,0)</f>
        <v>0</v>
      </c>
      <c r="Y168" s="112" t="n">
        <f aca="false">IF(SUM($G$166:$G$175)=0,0,'W Fees &amp; KPI'!$Q$22*G168/SUM($G$166:$G$175))</f>
        <v>3959.60634230073</v>
      </c>
      <c r="Z168" s="119" t="n">
        <f aca="false">IF(SUM($G$166:$G$175)=0,0,SUM('W Fees &amp; KPI'!$J$22,'W Fees &amp; KPI'!$M$22)*G168/SUM($G$166:$G$175))</f>
        <v>4611.25</v>
      </c>
      <c r="AA168" s="117" t="n">
        <f aca="false">T168-U168-Z168-Y168</f>
        <v>101567.883657699</v>
      </c>
      <c r="AB168" s="119" t="n">
        <f aca="false">IF('W Fees &amp; KPI'!$D$22=0,0,T168-U168-Z168)</f>
        <v>105527.49</v>
      </c>
    </row>
    <row r="169" customFormat="false" ht="21" hidden="false" customHeight="true" outlineLevel="0" collapsed="false">
      <c r="C169" s="144" t="n">
        <f aca="false">46753</f>
        <v>46753</v>
      </c>
      <c r="D169" s="81" t="n">
        <f aca="false">2</f>
        <v>2</v>
      </c>
      <c r="E169" s="81" t="str">
        <f aca="false">'W Sites'!C9</f>
        <v>S04</v>
      </c>
      <c r="F169" s="145" t="n">
        <f aca="false">'W Sites'!$G$9*MAX(0,EOMONTH(C169,0)-MAX(C169,'W Sites'!$F$9)+1)/DAY(EOMONTH(C169,0))</f>
        <v>1</v>
      </c>
      <c r="G169" s="145" t="n">
        <f aca="false">'W Sites'!$G$9*MAX(0,EOMONTH(C169,0)-MAX(C169,'W Sites'!$F$9,'W Assumptions'!$D$58)+1)/DAY(EOMONTH(C169,0))</f>
        <v>1</v>
      </c>
      <c r="H169" s="81" t="n">
        <f aca="false">'W Sites'!$H$9*F169*'W Sites'!$I$9*IF(((YEAR(C169)-YEAR('W Sites'!$F$9))*12+MONTH(C169)-MONTH('W Sites'!$F$9))=0,'W Assumptions'!$D$62,IF(((YEAR(C169)-YEAR('W Sites'!$F$9))*12+MONTH(C169)-MONTH('W Sites'!$F$9))=1,'W Assumptions'!$D$63,1))*INDEX('W Assumptions'!$D$7:$F$7,1,D169)*INDEX('W Assumptions'!$D$32:$F$32,1,D169)*INDEX('W Assumptions'!$D$80:$D$91,MONTH(C169),1)/AVERAGE('W Assumptions'!$D$80:$D$91)</f>
        <v>2305.98958333333</v>
      </c>
      <c r="I169" s="81" t="n">
        <f aca="false">H169*'W Sites'!$J$9/(1+'W Assumptions'!$D$39)*INDEX('W Assumptions'!$D$12:$F$12,1,D169)*INDEX('W Assumptions'!$D$33:$F$33,1,D169)</f>
        <v>134248.697916667</v>
      </c>
      <c r="J169" s="81" t="n">
        <f aca="false">H169*'W Sites'!$K$9/(1+'W Assumptions'!$D$39)*INDEX('W Assumptions'!$D$12:$F$12,1,D169)*INDEX('W Assumptions'!$D$33:$F$33,1,D169)</f>
        <v>14457.5520833333</v>
      </c>
      <c r="K169" s="81" t="n">
        <f aca="false">'W Sites'!$L$9*F169*IF(((YEAR(C169)-YEAR('W Sites'!$F$9))*12+MONTH(C169)-MONTH('W Sites'!$F$9))=0,'W Assumptions'!$D$62,IF(((YEAR(C169)-YEAR('W Sites'!$F$9))*12+MONTH(C169)-MONTH('W Sites'!$F$9))=1,'W Assumptions'!$D$63,1))*INDEX('W Assumptions'!$D$7:$F$7,1,D169)*INDEX('W Assumptions'!$D$32:$F$32,1,D169)</f>
        <v>16500</v>
      </c>
      <c r="L169" s="81" t="n">
        <f aca="false">SUM(I169:K169)</f>
        <v>165206.25</v>
      </c>
      <c r="M169" s="81" t="n">
        <f aca="false">'W Site Costs'!$I$9*F169*INDEX('W Assumptions'!$D$34:$F$34,1,D169)*INDEX('W Assumptions'!$D$22:$F$22,1,D169)</f>
        <v>39648</v>
      </c>
      <c r="N169" s="81" t="n">
        <f aca="false">'W Site Costs'!$J$9*F169*INDEX('W Assumptions'!$D$35:$F$35,1,D169)*INDEX('W Assumptions'!$D$22:$F$22,1,D169)</f>
        <v>22880</v>
      </c>
      <c r="O169" s="81" t="n">
        <f aca="false">L169*'W Site Costs'!$K$9</f>
        <v>0</v>
      </c>
      <c r="P169" s="81" t="n">
        <f aca="false">SUM('W Site Costs'!$L$9:$Q$9)*F169*INDEX('W Assumptions'!$D$35:$F$35,1,D169)*INDEX('W Assumptions'!$D$22:$F$22,1,D169)</f>
        <v>16120</v>
      </c>
      <c r="Q169" s="81" t="n">
        <f aca="false">L169*'W Site Costs'!$R$9*INDEX('W Assumptions'!$D$17:$F$17,1,D169)</f>
        <v>13216.5</v>
      </c>
      <c r="R169" s="112" t="n">
        <f aca="false">L169*'W Sites'!$M$9</f>
        <v>0</v>
      </c>
      <c r="S169" s="81" t="n">
        <f aca="false">SUM(M169:R169)</f>
        <v>91864.5</v>
      </c>
      <c r="T169" s="81" t="n">
        <f aca="false">L169-S169</f>
        <v>73341.7500000001</v>
      </c>
      <c r="U169" s="81" t="n">
        <f aca="false">IF(C169='W Budget &amp; Owners'!$I$9,'W Budget &amp; Owners'!$F$9*'W Sites'!$G$9,0)</f>
        <v>0</v>
      </c>
      <c r="V169" s="81" t="n">
        <f aca="false">'W Sites'!$G$9*'W Budget &amp; Owners'!$E$9*INDEX('W Assumptions'!$D$27:$F$27,1,D169)*(IF(C169='W Budget &amp; Owners'!$I$9,'W Assumptions'!$D$65,0)+IF(C169=DATE(YEAR('W Sites'!$F$9),MONTH('W Sites'!$F$9),1),1-'W Assumptions'!$D$65,0))+'W Sites'!$G$9*'W Budget &amp; Owners'!$E$9*IF(C169=DATE(2027,9,1),'W Assumptions'!$D$67,IF(C169=DATE(2028,9,1),'W Assumptions'!$D$69,0))</f>
        <v>0</v>
      </c>
      <c r="W169" s="81" t="n">
        <f aca="false">IF(((YEAR(C169)-YEAR('W Sites'!$F$9))*12+MONTH(C169)-MONTH('W Sites'!$F$9))&lt;'W Budget &amp; Owners'!$H$9,'W Budget &amp; Owners'!$E$9/'W Budget &amp; Owners'!$H$9*F169,0)+IF(C169&gt;=DATE(2027,9,1),'W Budget &amp; Owners'!$E$9*'W Assumptions'!$D$67/'W Budget &amp; Owners'!$H$9*F169,0)+IF(C169&gt;=DATE(2028,9,1),'W Budget &amp; Owners'!$E$9*'W Assumptions'!$D$69/'W Budget &amp; Owners'!$H$9*F169,0)</f>
        <v>8500</v>
      </c>
      <c r="X169" s="81" t="n">
        <f aca="false">IF(C169='W Budget &amp; Owners'!$I$9,'W Budget &amp; Owners'!$G$9*'W Sites'!$G$9,0)</f>
        <v>0</v>
      </c>
      <c r="Y169" s="112" t="n">
        <f aca="false">IF(SUM($G$166:$G$175)=0,0,'W Fees &amp; KPI'!$Q$22*G169/SUM($G$166:$G$175))</f>
        <v>3959.60634230073</v>
      </c>
      <c r="Z169" s="119" t="n">
        <f aca="false">IF(SUM($G$166:$G$175)=0,0,SUM('W Fees &amp; KPI'!$J$22,'W Fees &amp; KPI'!$M$22)*G169/SUM($G$166:$G$175))</f>
        <v>4611.25</v>
      </c>
      <c r="AA169" s="117" t="n">
        <f aca="false">T169-U169-Z169-Y169</f>
        <v>64770.8936576993</v>
      </c>
      <c r="AB169" s="119" t="n">
        <f aca="false">IF('W Fees &amp; KPI'!$D$22=0,0,T169-U169-Z169)</f>
        <v>68730.5000000001</v>
      </c>
    </row>
    <row r="170" customFormat="false" ht="21" hidden="false" customHeight="true" outlineLevel="0" collapsed="false">
      <c r="C170" s="144" t="n">
        <f aca="false">46753</f>
        <v>46753</v>
      </c>
      <c r="D170" s="81" t="n">
        <f aca="false">2</f>
        <v>2</v>
      </c>
      <c r="E170" s="81" t="str">
        <f aca="false">'W Sites'!C10</f>
        <v>S05</v>
      </c>
      <c r="F170" s="145" t="n">
        <f aca="false">'W Sites'!$G$10*MAX(0,EOMONTH(C170,0)-MAX(C170,'W Sites'!$F$10)+1)/DAY(EOMONTH(C170,0))</f>
        <v>1</v>
      </c>
      <c r="G170" s="145" t="n">
        <f aca="false">'W Sites'!$G$10*MAX(0,EOMONTH(C170,0)-MAX(C170,'W Sites'!$F$10,'W Assumptions'!$D$58)+1)/DAY(EOMONTH(C170,0))</f>
        <v>1</v>
      </c>
      <c r="H170" s="81" t="n">
        <f aca="false">'W Sites'!$H$10*F170*'W Sites'!$I$10*IF(((YEAR(C170)-YEAR('W Sites'!$F$10))*12+MONTH(C170)-MONTH('W Sites'!$F$10))=0,'W Assumptions'!$D$62,IF(((YEAR(C170)-YEAR('W Sites'!$F$10))*12+MONTH(C170)-MONTH('W Sites'!$F$10))=1,'W Assumptions'!$D$63,1))*INDEX('W Assumptions'!$D$7:$F$7,1,D170)*INDEX('W Assumptions'!$D$32:$F$32,1,D170)*INDEX('W Assumptions'!$D$80:$D$91,MONTH(C170),1)/AVERAGE('W Assumptions'!$D$80:$D$91)</f>
        <v>2947.62328767123</v>
      </c>
      <c r="I170" s="81" t="n">
        <f aca="false">H170*'W Sites'!$J$10/(1+'W Assumptions'!$D$39)*INDEX('W Assumptions'!$D$12:$F$12,1,D170)*INDEX('W Assumptions'!$D$33:$F$33,1,D170)</f>
        <v>171602.938356164</v>
      </c>
      <c r="J170" s="81" t="n">
        <f aca="false">H170*'W Sites'!$K$10/(1+'W Assumptions'!$D$39)*INDEX('W Assumptions'!$D$12:$F$12,1,D170)*INDEX('W Assumptions'!$D$33:$F$33,1,D170)</f>
        <v>21120.3616438356</v>
      </c>
      <c r="K170" s="81" t="n">
        <f aca="false">'W Sites'!$L$10*F170*IF(((YEAR(C170)-YEAR('W Sites'!$F$10))*12+MONTH(C170)-MONTH('W Sites'!$F$10))=0,'W Assumptions'!$D$62,IF(((YEAR(C170)-YEAR('W Sites'!$F$10))*12+MONTH(C170)-MONTH('W Sites'!$F$10))=1,'W Assumptions'!$D$63,1))*INDEX('W Assumptions'!$D$7:$F$7,1,D170)*INDEX('W Assumptions'!$D$32:$F$32,1,D170)</f>
        <v>19800</v>
      </c>
      <c r="L170" s="81" t="n">
        <f aca="false">SUM(I170:K170)</f>
        <v>212523.3</v>
      </c>
      <c r="M170" s="81" t="n">
        <f aca="false">'W Site Costs'!$I$10*F170*INDEX('W Assumptions'!$D$34:$F$34,1,D170)*INDEX('W Assumptions'!$D$22:$F$22,1,D170)</f>
        <v>50427.3</v>
      </c>
      <c r="N170" s="81" t="n">
        <f aca="false">'W Site Costs'!$J$10*F170*INDEX('W Assumptions'!$D$35:$F$35,1,D170)*INDEX('W Assumptions'!$D$22:$F$22,1,D170)</f>
        <v>31200</v>
      </c>
      <c r="O170" s="81" t="n">
        <f aca="false">L170*'W Site Costs'!$K$10</f>
        <v>0</v>
      </c>
      <c r="P170" s="81" t="n">
        <f aca="false">SUM('W Site Costs'!$L$10:$Q$10)*F170*INDEX('W Assumptions'!$D$35:$F$35,1,D170)*INDEX('W Assumptions'!$D$22:$F$22,1,D170)</f>
        <v>19760</v>
      </c>
      <c r="Q170" s="81" t="n">
        <f aca="false">L170*'W Site Costs'!$R$10*INDEX('W Assumptions'!$D$17:$F$17,1,D170)</f>
        <v>17001.864</v>
      </c>
      <c r="R170" s="112" t="n">
        <f aca="false">L170*'W Sites'!$M$10</f>
        <v>0</v>
      </c>
      <c r="S170" s="81" t="n">
        <f aca="false">SUM(M170:R170)</f>
        <v>118389.164</v>
      </c>
      <c r="T170" s="81" t="n">
        <f aca="false">L170-S170</f>
        <v>94134.136</v>
      </c>
      <c r="U170" s="81" t="n">
        <f aca="false">IF(C170='W Budget &amp; Owners'!$I$10,'W Budget &amp; Owners'!$F$10*'W Sites'!$G$10,0)</f>
        <v>0</v>
      </c>
      <c r="V170" s="81" t="n">
        <f aca="false">'W Sites'!$G$10*'W Budget &amp; Owners'!$E$10*INDEX('W Assumptions'!$D$27:$F$27,1,D170)*(IF(C170='W Budget &amp; Owners'!$I$10,'W Assumptions'!$D$65,0)+IF(C170=DATE(YEAR('W Sites'!$F$10),MONTH('W Sites'!$F$10),1),1-'W Assumptions'!$D$65,0))+'W Sites'!$G$10*'W Budget &amp; Owners'!$E$10*IF(C170=DATE(2027,9,1),'W Assumptions'!$D$67,IF(C170=DATE(2028,9,1),'W Assumptions'!$D$69,0))</f>
        <v>0</v>
      </c>
      <c r="W170" s="81" t="n">
        <f aca="false">IF(((YEAR(C170)-YEAR('W Sites'!$F$10))*12+MONTH(C170)-MONTH('W Sites'!$F$10))&lt;'W Budget &amp; Owners'!$H$10,'W Budget &amp; Owners'!$E$10/'W Budget &amp; Owners'!$H$10*F170,0)+IF(C170&gt;=DATE(2027,9,1),'W Budget &amp; Owners'!$E$10*'W Assumptions'!$D$67/'W Budget &amp; Owners'!$H$10*F170,0)+IF(C170&gt;=DATE(2028,9,1),'W Budget &amp; Owners'!$E$10*'W Assumptions'!$D$69/'W Budget &amp; Owners'!$H$10*F170,0)</f>
        <v>12750</v>
      </c>
      <c r="X170" s="81" t="n">
        <f aca="false">IF(C170='W Budget &amp; Owners'!$I$10,'W Budget &amp; Owners'!$G$10*'W Sites'!$G$10,0)</f>
        <v>0</v>
      </c>
      <c r="Y170" s="112" t="n">
        <f aca="false">IF(SUM($G$166:$G$175)=0,0,'W Fees &amp; KPI'!$Q$22*G170/SUM($G$166:$G$175))</f>
        <v>3959.60634230073</v>
      </c>
      <c r="Z170" s="119" t="n">
        <f aca="false">IF(SUM($G$166:$G$175)=0,0,SUM('W Fees &amp; KPI'!$J$22,'W Fees &amp; KPI'!$M$22)*G170/SUM($G$166:$G$175))</f>
        <v>4611.25</v>
      </c>
      <c r="AA170" s="117" t="n">
        <f aca="false">T170-U170-Z170-Y170</f>
        <v>85563.2796576993</v>
      </c>
      <c r="AB170" s="119" t="n">
        <f aca="false">IF('W Fees &amp; KPI'!$D$22=0,0,T170-U170-Z170)</f>
        <v>89522.886</v>
      </c>
    </row>
    <row r="171" customFormat="false" ht="21" hidden="false" customHeight="true" outlineLevel="0" collapsed="false">
      <c r="C171" s="144" t="n">
        <f aca="false">46753</f>
        <v>46753</v>
      </c>
      <c r="D171" s="81" t="n">
        <f aca="false">2</f>
        <v>2</v>
      </c>
      <c r="E171" s="81" t="str">
        <f aca="false">'W Sites'!C11</f>
        <v>S06</v>
      </c>
      <c r="F171" s="145" t="n">
        <f aca="false">'W Sites'!$G$11*MAX(0,EOMONTH(C171,0)-MAX(C171,'W Sites'!$F$11)+1)/DAY(EOMONTH(C171,0))</f>
        <v>1</v>
      </c>
      <c r="G171" s="145" t="n">
        <f aca="false">'W Sites'!$G$11*MAX(0,EOMONTH(C171,0)-MAX(C171,'W Sites'!$F$11,'W Assumptions'!$D$58)+1)/DAY(EOMONTH(C171,0))</f>
        <v>1</v>
      </c>
      <c r="H171" s="81" t="n">
        <f aca="false">'W Sites'!$H$11*F171*'W Sites'!$I$11*IF(((YEAR(C171)-YEAR('W Sites'!$F$11))*12+MONTH(C171)-MONTH('W Sites'!$F$11))=0,'W Assumptions'!$D$62,IF(((YEAR(C171)-YEAR('W Sites'!$F$11))*12+MONTH(C171)-MONTH('W Sites'!$F$11))=1,'W Assumptions'!$D$63,1))*INDEX('W Assumptions'!$D$7:$F$7,1,D171)*INDEX('W Assumptions'!$D$32:$F$32,1,D171)*INDEX('W Assumptions'!$D$80:$D$91,MONTH(C171),1)/AVERAGE('W Assumptions'!$D$80:$D$91)</f>
        <v>900.9</v>
      </c>
      <c r="I171" s="81" t="n">
        <f aca="false">H171*'W Sites'!$J$11/(1+'W Assumptions'!$D$39)*INDEX('W Assumptions'!$D$12:$F$12,1,D171)*INDEX('W Assumptions'!$D$33:$F$33,1,D171)</f>
        <v>48413.5826086957</v>
      </c>
      <c r="J171" s="81" t="n">
        <f aca="false">H171*'W Sites'!$K$11/(1+'W Assumptions'!$D$39)*INDEX('W Assumptions'!$D$12:$F$12,1,D171)*INDEX('W Assumptions'!$D$33:$F$33,1,D171)</f>
        <v>2420.67913043478</v>
      </c>
      <c r="K171" s="81" t="n">
        <f aca="false">'W Sites'!$L$11*F171*IF(((YEAR(C171)-YEAR('W Sites'!$F$11))*12+MONTH(C171)-MONTH('W Sites'!$F$11))=0,'W Assumptions'!$D$62,IF(((YEAR(C171)-YEAR('W Sites'!$F$11))*12+MONTH(C171)-MONTH('W Sites'!$F$11))=1,'W Assumptions'!$D$63,1))*INDEX('W Assumptions'!$D$7:$F$7,1,D171)*INDEX('W Assumptions'!$D$32:$F$32,1,D171)</f>
        <v>22000</v>
      </c>
      <c r="L171" s="81" t="n">
        <f aca="false">SUM(I171:K171)</f>
        <v>72834.2617391305</v>
      </c>
      <c r="M171" s="81" t="n">
        <f aca="false">'W Site Costs'!$I$11*F171*INDEX('W Assumptions'!$D$34:$F$34,1,D171)*INDEX('W Assumptions'!$D$22:$F$22,1,D171)</f>
        <v>25027.8</v>
      </c>
      <c r="N171" s="81" t="n">
        <f aca="false">'W Site Costs'!$J$11*F171*INDEX('W Assumptions'!$D$35:$F$35,1,D171)*INDEX('W Assumptions'!$D$22:$F$22,1,D171)</f>
        <v>5200</v>
      </c>
      <c r="O171" s="81" t="n">
        <f aca="false">L171*'W Site Costs'!$K$11</f>
        <v>0</v>
      </c>
      <c r="P171" s="81" t="n">
        <f aca="false">SUM('W Site Costs'!$L$11:$Q$11)*F171*INDEX('W Assumptions'!$D$35:$F$35,1,D171)*INDEX('W Assumptions'!$D$22:$F$22,1,D171)</f>
        <v>8320</v>
      </c>
      <c r="Q171" s="81" t="n">
        <f aca="false">L171*'W Site Costs'!$R$11*INDEX('W Assumptions'!$D$17:$F$17,1,D171)</f>
        <v>7283.42617391305</v>
      </c>
      <c r="R171" s="112" t="n">
        <f aca="false">L171*'W Sites'!$M$11</f>
        <v>0</v>
      </c>
      <c r="S171" s="81" t="n">
        <f aca="false">SUM(M171:R171)</f>
        <v>45831.2261739131</v>
      </c>
      <c r="T171" s="81" t="n">
        <f aca="false">L171-S171</f>
        <v>27003.0355652174</v>
      </c>
      <c r="U171" s="81" t="n">
        <f aca="false">IF(C171='W Budget &amp; Owners'!$I$11,'W Budget &amp; Owners'!$F$11*'W Sites'!$G$11,0)</f>
        <v>0</v>
      </c>
      <c r="V171" s="81" t="n">
        <f aca="false">'W Sites'!$G$11*'W Budget &amp; Owners'!$E$11*INDEX('W Assumptions'!$D$27:$F$27,1,D171)*(IF(C171='W Budget &amp; Owners'!$I$11,'W Assumptions'!$D$65,0)+IF(C171=DATE(YEAR('W Sites'!$F$11),MONTH('W Sites'!$F$11),1),1-'W Assumptions'!$D$65,0))+'W Sites'!$G$11*'W Budget &amp; Owners'!$E$11*IF(C171=DATE(2027,9,1),'W Assumptions'!$D$67,IF(C171=DATE(2028,9,1),'W Assumptions'!$D$69,0))</f>
        <v>0</v>
      </c>
      <c r="W171" s="81" t="n">
        <f aca="false">IF(((YEAR(C171)-YEAR('W Sites'!$F$11))*12+MONTH(C171)-MONTH('W Sites'!$F$11))&lt;'W Budget &amp; Owners'!$H$11,'W Budget &amp; Owners'!$E$11/'W Budget &amp; Owners'!$H$11*F171,0)+IF(C171&gt;=DATE(2027,9,1),'W Budget &amp; Owners'!$E$11*'W Assumptions'!$D$67/'W Budget &amp; Owners'!$H$11*F171,0)+IF(C171&gt;=DATE(2028,9,1),'W Budget &amp; Owners'!$E$11*'W Assumptions'!$D$69/'W Budget &amp; Owners'!$H$11*F171,0)</f>
        <v>2550</v>
      </c>
      <c r="X171" s="81" t="n">
        <f aca="false">IF(C171='W Budget &amp; Owners'!$I$11,'W Budget &amp; Owners'!$G$11*'W Sites'!$G$11,0)</f>
        <v>0</v>
      </c>
      <c r="Y171" s="112" t="n">
        <f aca="false">IF(SUM($G$166:$G$175)=0,0,'W Fees &amp; KPI'!$Q$22*G171/SUM($G$166:$G$175))</f>
        <v>3959.60634230073</v>
      </c>
      <c r="Z171" s="119" t="n">
        <f aca="false">IF(SUM($G$166:$G$175)=0,0,SUM('W Fees &amp; KPI'!$J$22,'W Fees &amp; KPI'!$M$22)*G171/SUM($G$166:$G$175))</f>
        <v>4611.25</v>
      </c>
      <c r="AA171" s="117" t="n">
        <f aca="false">T171-U171-Z171-Y171</f>
        <v>18432.1792229167</v>
      </c>
      <c r="AB171" s="119" t="n">
        <f aca="false">IF('W Fees &amp; KPI'!$D$22=0,0,T171-U171-Z171)</f>
        <v>22391.7855652174</v>
      </c>
    </row>
    <row r="172" customFormat="false" ht="21" hidden="false" customHeight="true" outlineLevel="0" collapsed="false">
      <c r="C172" s="144" t="n">
        <f aca="false">46753</f>
        <v>46753</v>
      </c>
      <c r="D172" s="81" t="n">
        <f aca="false">2</f>
        <v>2</v>
      </c>
      <c r="E172" s="81" t="str">
        <f aca="false">'W Sites'!C12</f>
        <v>S07</v>
      </c>
      <c r="F172" s="145" t="n">
        <f aca="false">'W Sites'!$G$12*MAX(0,EOMONTH(C172,0)-MAX(C172,'W Sites'!$F$12)+1)/DAY(EOMONTH(C172,0))</f>
        <v>1</v>
      </c>
      <c r="G172" s="145" t="n">
        <f aca="false">'W Sites'!$G$12*MAX(0,EOMONTH(C172,0)-MAX(C172,'W Sites'!$F$12,'W Assumptions'!$D$58)+1)/DAY(EOMONTH(C172,0))</f>
        <v>1</v>
      </c>
      <c r="H172" s="81" t="n">
        <f aca="false">'W Sites'!$H$12*F172*'W Sites'!$I$12*IF(((YEAR(C172)-YEAR('W Sites'!$F$12))*12+MONTH(C172)-MONTH('W Sites'!$F$12))=0,'W Assumptions'!$D$62,IF(((YEAR(C172)-YEAR('W Sites'!$F$12))*12+MONTH(C172)-MONTH('W Sites'!$F$12))=1,'W Assumptions'!$D$63,1))*INDEX('W Assumptions'!$D$7:$F$7,1,D172)*INDEX('W Assumptions'!$D$32:$F$32,1,D172)*INDEX('W Assumptions'!$D$80:$D$91,MONTH(C172),1)/AVERAGE('W Assumptions'!$D$80:$D$91)</f>
        <v>1051.05</v>
      </c>
      <c r="I172" s="81" t="n">
        <f aca="false">H172*'W Sites'!$J$12/(1+'W Assumptions'!$D$39)*INDEX('W Assumptions'!$D$12:$F$12,1,D172)*INDEX('W Assumptions'!$D$33:$F$33,1,D172)</f>
        <v>56482.5130434783</v>
      </c>
      <c r="J172" s="81" t="n">
        <f aca="false">H172*'W Sites'!$K$12/(1+'W Assumptions'!$D$39)*INDEX('W Assumptions'!$D$12:$F$12,1,D172)*INDEX('W Assumptions'!$D$33:$F$33,1,D172)</f>
        <v>2824.12565217391</v>
      </c>
      <c r="K172" s="81" t="n">
        <f aca="false">'W Sites'!$L$12*F172*IF(((YEAR(C172)-YEAR('W Sites'!$F$12))*12+MONTH(C172)-MONTH('W Sites'!$F$12))=0,'W Assumptions'!$D$62,IF(((YEAR(C172)-YEAR('W Sites'!$F$12))*12+MONTH(C172)-MONTH('W Sites'!$F$12))=1,'W Assumptions'!$D$63,1))*INDEX('W Assumptions'!$D$7:$F$7,1,D172)*INDEX('W Assumptions'!$D$32:$F$32,1,D172)</f>
        <v>19800</v>
      </c>
      <c r="L172" s="81" t="n">
        <f aca="false">SUM(I172:K172)</f>
        <v>79106.6386956522</v>
      </c>
      <c r="M172" s="81" t="n">
        <f aca="false">'W Site Costs'!$I$12*F172*INDEX('W Assumptions'!$D$34:$F$34,1,D172)*INDEX('W Assumptions'!$D$22:$F$22,1,D172)</f>
        <v>25027.8</v>
      </c>
      <c r="N172" s="81" t="n">
        <f aca="false">'W Site Costs'!$J$12*F172*INDEX('W Assumptions'!$D$35:$F$35,1,D172)*INDEX('W Assumptions'!$D$22:$F$22,1,D172)</f>
        <v>8320</v>
      </c>
      <c r="O172" s="81" t="n">
        <f aca="false">L172*'W Site Costs'!$K$12</f>
        <v>0</v>
      </c>
      <c r="P172" s="81" t="n">
        <f aca="false">SUM('W Site Costs'!$L$12:$Q$12)*F172*INDEX('W Assumptions'!$D$35:$F$35,1,D172)*INDEX('W Assumptions'!$D$22:$F$22,1,D172)</f>
        <v>8840</v>
      </c>
      <c r="Q172" s="81" t="n">
        <f aca="false">L172*'W Site Costs'!$R$12*INDEX('W Assumptions'!$D$17:$F$17,1,D172)</f>
        <v>7910.66386956522</v>
      </c>
      <c r="R172" s="112" t="n">
        <f aca="false">L172*'W Sites'!$M$12</f>
        <v>0</v>
      </c>
      <c r="S172" s="81" t="n">
        <f aca="false">SUM(M172:R172)</f>
        <v>50098.4638695652</v>
      </c>
      <c r="T172" s="81" t="n">
        <f aca="false">L172-S172</f>
        <v>29008.174826087</v>
      </c>
      <c r="U172" s="81" t="n">
        <f aca="false">IF(C172='W Budget &amp; Owners'!$I$12,'W Budget &amp; Owners'!$F$12*'W Sites'!$G$12,0)</f>
        <v>0</v>
      </c>
      <c r="V172" s="81" t="n">
        <f aca="false">'W Sites'!$G$12*'W Budget &amp; Owners'!$E$12*INDEX('W Assumptions'!$D$27:$F$27,1,D172)*(IF(C172='W Budget &amp; Owners'!$I$12,'W Assumptions'!$D$65,0)+IF(C172=DATE(YEAR('W Sites'!$F$12),MONTH('W Sites'!$F$12),1),1-'W Assumptions'!$D$65,0))+'W Sites'!$G$12*'W Budget &amp; Owners'!$E$12*IF(C172=DATE(2027,9,1),'W Assumptions'!$D$67,IF(C172=DATE(2028,9,1),'W Assumptions'!$D$69,0))</f>
        <v>0</v>
      </c>
      <c r="W172" s="81" t="n">
        <f aca="false">IF(((YEAR(C172)-YEAR('W Sites'!$F$12))*12+MONTH(C172)-MONTH('W Sites'!$F$12))&lt;'W Budget &amp; Owners'!$H$12,'W Budget &amp; Owners'!$E$12/'W Budget &amp; Owners'!$H$12*F172,0)+IF(C172&gt;=DATE(2027,9,1),'W Budget &amp; Owners'!$E$12*'W Assumptions'!$D$67/'W Budget &amp; Owners'!$H$12*F172,0)+IF(C172&gt;=DATE(2028,9,1),'W Budget &amp; Owners'!$E$12*'W Assumptions'!$D$69/'W Budget &amp; Owners'!$H$12*F172,0)</f>
        <v>7650</v>
      </c>
      <c r="X172" s="81" t="n">
        <f aca="false">IF(C172='W Budget &amp; Owners'!$I$12,'W Budget &amp; Owners'!$G$12*'W Sites'!$G$12,0)</f>
        <v>0</v>
      </c>
      <c r="Y172" s="112" t="n">
        <f aca="false">IF(SUM($G$166:$G$175)=0,0,'W Fees &amp; KPI'!$Q$22*G172/SUM($G$166:$G$175))</f>
        <v>3959.60634230073</v>
      </c>
      <c r="Z172" s="119" t="n">
        <f aca="false">IF(SUM($G$166:$G$175)=0,0,SUM('W Fees &amp; KPI'!$J$22,'W Fees &amp; KPI'!$M$22)*G172/SUM($G$166:$G$175))</f>
        <v>4611.25</v>
      </c>
      <c r="AA172" s="117" t="n">
        <f aca="false">T172-U172-Z172-Y172</f>
        <v>20437.3184837862</v>
      </c>
      <c r="AB172" s="119" t="n">
        <f aca="false">IF('W Fees &amp; KPI'!$D$22=0,0,T172-U172-Z172)</f>
        <v>24396.924826087</v>
      </c>
    </row>
    <row r="173" customFormat="false" ht="21" hidden="false" customHeight="true" outlineLevel="0" collapsed="false">
      <c r="C173" s="144" t="n">
        <f aca="false">46753</f>
        <v>46753</v>
      </c>
      <c r="D173" s="81" t="n">
        <f aca="false">2</f>
        <v>2</v>
      </c>
      <c r="E173" s="81" t="str">
        <f aca="false">'W Sites'!C13</f>
        <v>S08</v>
      </c>
      <c r="F173" s="145" t="n">
        <f aca="false">'W Sites'!$G$13*MAX(0,EOMONTH(C173,0)-MAX(C173,'W Sites'!$F$13)+1)/DAY(EOMONTH(C173,0))</f>
        <v>1</v>
      </c>
      <c r="G173" s="145" t="n">
        <f aca="false">'W Sites'!$G$13*MAX(0,EOMONTH(C173,0)-MAX(C173,'W Sites'!$F$13,'W Assumptions'!$D$58)+1)/DAY(EOMONTH(C173,0))</f>
        <v>1</v>
      </c>
      <c r="H173" s="81" t="n">
        <f aca="false">'W Sites'!$H$13*F173*'W Sites'!$I$13*IF(((YEAR(C173)-YEAR('W Sites'!$F$13))*12+MONTH(C173)-MONTH('W Sites'!$F$13))=0,'W Assumptions'!$D$62,IF(((YEAR(C173)-YEAR('W Sites'!$F$13))*12+MONTH(C173)-MONTH('W Sites'!$F$13))=1,'W Assumptions'!$D$63,1))*INDEX('W Assumptions'!$D$7:$F$7,1,D173)*INDEX('W Assumptions'!$D$32:$F$32,1,D173)*INDEX('W Assumptions'!$D$80:$D$91,MONTH(C173),1)/AVERAGE('W Assumptions'!$D$80:$D$91)</f>
        <v>4504.5</v>
      </c>
      <c r="I173" s="81" t="n">
        <f aca="false">H173*'W Sites'!$J$13/(1+'W Assumptions'!$D$39)*INDEX('W Assumptions'!$D$12:$F$12,1,D173)*INDEX('W Assumptions'!$D$33:$F$33,1,D173)</f>
        <v>161378.608695652</v>
      </c>
      <c r="J173" s="81" t="n">
        <f aca="false">H173*'W Sites'!$K$13/(1+'W Assumptions'!$D$39)*INDEX('W Assumptions'!$D$12:$F$12,1,D173)*INDEX('W Assumptions'!$D$33:$F$33,1,D173)</f>
        <v>20172.3260869565</v>
      </c>
      <c r="K173" s="81" t="n">
        <f aca="false">'W Sites'!$L$13*F173*IF(((YEAR(C173)-YEAR('W Sites'!$F$13))*12+MONTH(C173)-MONTH('W Sites'!$F$13))=0,'W Assumptions'!$D$62,IF(((YEAR(C173)-YEAR('W Sites'!$F$13))*12+MONTH(C173)-MONTH('W Sites'!$F$13))=1,'W Assumptions'!$D$63,1))*INDEX('W Assumptions'!$D$7:$F$7,1,D173)*INDEX('W Assumptions'!$D$32:$F$32,1,D173)</f>
        <v>16500</v>
      </c>
      <c r="L173" s="81" t="n">
        <f aca="false">SUM(I173:K173)</f>
        <v>198050.934782609</v>
      </c>
      <c r="M173" s="81" t="n">
        <f aca="false">'W Site Costs'!$I$13*F173*INDEX('W Assumptions'!$D$34:$F$34,1,D173)*INDEX('W Assumptions'!$D$22:$F$22,1,D173)</f>
        <v>56002.8</v>
      </c>
      <c r="N173" s="81" t="n">
        <f aca="false">'W Site Costs'!$J$13*F173*INDEX('W Assumptions'!$D$35:$F$35,1,D173)*INDEX('W Assumptions'!$D$22:$F$22,1,D173)</f>
        <v>0</v>
      </c>
      <c r="O173" s="81" t="n">
        <f aca="false">L173*'W Site Costs'!$K$13</f>
        <v>19805.0934782609</v>
      </c>
      <c r="P173" s="81" t="n">
        <f aca="false">SUM('W Site Costs'!$L$13:$Q$13)*F173*INDEX('W Assumptions'!$D$35:$F$35,1,D173)*INDEX('W Assumptions'!$D$22:$F$22,1,D173)</f>
        <v>26520</v>
      </c>
      <c r="Q173" s="81" t="n">
        <f aca="false">L173*'W Site Costs'!$R$13*INDEX('W Assumptions'!$D$17:$F$17,1,D173)</f>
        <v>15844.0747826087</v>
      </c>
      <c r="R173" s="112" t="n">
        <f aca="false">L173*'W Sites'!$M$13</f>
        <v>0</v>
      </c>
      <c r="S173" s="81" t="n">
        <f aca="false">SUM(M173:R173)</f>
        <v>118171.96826087</v>
      </c>
      <c r="T173" s="81" t="n">
        <f aca="false">L173-S173</f>
        <v>79878.9665217391</v>
      </c>
      <c r="U173" s="81" t="n">
        <f aca="false">IF(C173='W Budget &amp; Owners'!$I$13,'W Budget &amp; Owners'!$F$13*'W Sites'!$G$13,0)</f>
        <v>0</v>
      </c>
      <c r="V173" s="81" t="n">
        <f aca="false">'W Sites'!$G$13*'W Budget &amp; Owners'!$E$13*INDEX('W Assumptions'!$D$27:$F$27,1,D173)*(IF(C173='W Budget &amp; Owners'!$I$13,'W Assumptions'!$D$65,0)+IF(C173=DATE(YEAR('W Sites'!$F$13),MONTH('W Sites'!$F$13),1),1-'W Assumptions'!$D$65,0))+'W Sites'!$G$13*'W Budget &amp; Owners'!$E$13*IF(C173=DATE(2027,9,1),'W Assumptions'!$D$67,IF(C173=DATE(2028,9,1),'W Assumptions'!$D$69,0))</f>
        <v>0</v>
      </c>
      <c r="W173" s="81" t="n">
        <f aca="false">IF(((YEAR(C173)-YEAR('W Sites'!$F$13))*12+MONTH(C173)-MONTH('W Sites'!$F$13))&lt;'W Budget &amp; Owners'!$H$13,'W Budget &amp; Owners'!$E$13/'W Budget &amp; Owners'!$H$13*F173,0)+IF(C173&gt;=DATE(2027,9,1),'W Budget &amp; Owners'!$E$13*'W Assumptions'!$D$67/'W Budget &amp; Owners'!$H$13*F173,0)+IF(C173&gt;=DATE(2028,9,1),'W Budget &amp; Owners'!$E$13*'W Assumptions'!$D$69/'W Budget &amp; Owners'!$H$13*F173,0)</f>
        <v>20400</v>
      </c>
      <c r="X173" s="81" t="n">
        <f aca="false">IF(C173='W Budget &amp; Owners'!$I$13,'W Budget &amp; Owners'!$G$13*'W Sites'!$G$13,0)</f>
        <v>0</v>
      </c>
      <c r="Y173" s="112" t="n">
        <f aca="false">IF(SUM($G$166:$G$175)=0,0,'W Fees &amp; KPI'!$Q$22*G173/SUM($G$166:$G$175))</f>
        <v>3959.60634230073</v>
      </c>
      <c r="Z173" s="119" t="n">
        <f aca="false">IF(SUM($G$166:$G$175)=0,0,SUM('W Fees &amp; KPI'!$J$22,'W Fees &amp; KPI'!$M$22)*G173/SUM($G$166:$G$175))</f>
        <v>4611.25</v>
      </c>
      <c r="AA173" s="117" t="n">
        <f aca="false">T173-U173-Z173-Y173</f>
        <v>71308.1101794384</v>
      </c>
      <c r="AB173" s="119" t="n">
        <f aca="false">IF('W Fees &amp; KPI'!$D$22=0,0,T173-U173-Z173)</f>
        <v>75267.7165217391</v>
      </c>
    </row>
    <row r="174" customFormat="false" ht="21" hidden="false" customHeight="true" outlineLevel="0" collapsed="false">
      <c r="C174" s="144" t="n">
        <f aca="false">46753</f>
        <v>46753</v>
      </c>
      <c r="D174" s="81" t="n">
        <f aca="false">2</f>
        <v>2</v>
      </c>
      <c r="E174" s="81" t="str">
        <f aca="false">'W Sites'!C14</f>
        <v>S09</v>
      </c>
      <c r="F174" s="145" t="n">
        <f aca="false">'W Sites'!$G$14*MAX(0,EOMONTH(C174,0)-MAX(C174,'W Sites'!$F$14)+1)/DAY(EOMONTH(C174,0))</f>
        <v>0</v>
      </c>
      <c r="G174" s="145" t="n">
        <f aca="false">'W Sites'!$G$14*MAX(0,EOMONTH(C174,0)-MAX(C174,'W Sites'!$F$14,'W Assumptions'!$D$58)+1)/DAY(EOMONTH(C174,0))</f>
        <v>0</v>
      </c>
      <c r="H174" s="81" t="n">
        <f aca="false">'W Sites'!$H$14*F174*'W Sites'!$I$14*IF(((YEAR(C174)-YEAR('W Sites'!$F$14))*12+MONTH(C174)-MONTH('W Sites'!$F$14))=0,'W Assumptions'!$D$62,IF(((YEAR(C174)-YEAR('W Sites'!$F$14))*12+MONTH(C174)-MONTH('W Sites'!$F$14))=1,'W Assumptions'!$D$63,1))*INDEX('W Assumptions'!$D$7:$F$7,1,D174)*INDEX('W Assumptions'!$D$32:$F$32,1,D174)*INDEX('W Assumptions'!$D$80:$D$91,MONTH(C174),1)/AVERAGE('W Assumptions'!$D$80:$D$91)</f>
        <v>0</v>
      </c>
      <c r="I174" s="81" t="n">
        <f aca="false">H174*'W Sites'!$J$14/(1+'W Assumptions'!$D$39)*INDEX('W Assumptions'!$D$12:$F$12,1,D174)*INDEX('W Assumptions'!$D$33:$F$33,1,D174)</f>
        <v>0</v>
      </c>
      <c r="J174" s="81" t="n">
        <f aca="false">H174*'W Sites'!$K$14/(1+'W Assumptions'!$D$39)*INDEX('W Assumptions'!$D$12:$F$12,1,D174)*INDEX('W Assumptions'!$D$33:$F$33,1,D174)</f>
        <v>0</v>
      </c>
      <c r="K174" s="81" t="n">
        <f aca="false">'W Sites'!$L$14*F174*IF(((YEAR(C174)-YEAR('W Sites'!$F$14))*12+MONTH(C174)-MONTH('W Sites'!$F$14))=0,'W Assumptions'!$D$62,IF(((YEAR(C174)-YEAR('W Sites'!$F$14))*12+MONTH(C174)-MONTH('W Sites'!$F$14))=1,'W Assumptions'!$D$63,1))*INDEX('W Assumptions'!$D$7:$F$7,1,D174)*INDEX('W Assumptions'!$D$32:$F$32,1,D174)</f>
        <v>0</v>
      </c>
      <c r="L174" s="81" t="n">
        <f aca="false">SUM(I174:K174)</f>
        <v>0</v>
      </c>
      <c r="M174" s="81" t="n">
        <f aca="false">'W Site Costs'!$I$14*F174*INDEX('W Assumptions'!$D$34:$F$34,1,D174)*INDEX('W Assumptions'!$D$22:$F$22,1,D174)</f>
        <v>0</v>
      </c>
      <c r="N174" s="81" t="n">
        <f aca="false">'W Site Costs'!$J$14*F174*INDEX('W Assumptions'!$D$35:$F$35,1,D174)*INDEX('W Assumptions'!$D$22:$F$22,1,D174)</f>
        <v>0</v>
      </c>
      <c r="O174" s="81" t="n">
        <f aca="false">L174*'W Site Costs'!$K$14</f>
        <v>0</v>
      </c>
      <c r="P174" s="81" t="n">
        <f aca="false">SUM('W Site Costs'!$L$14:$Q$14)*F174*INDEX('W Assumptions'!$D$35:$F$35,1,D174)*INDEX('W Assumptions'!$D$22:$F$22,1,D174)</f>
        <v>0</v>
      </c>
      <c r="Q174" s="81" t="n">
        <f aca="false">L174*'W Site Costs'!$R$14*INDEX('W Assumptions'!$D$17:$F$17,1,D174)</f>
        <v>0</v>
      </c>
      <c r="R174" s="112" t="n">
        <f aca="false">L174*'W Sites'!$M$14</f>
        <v>0</v>
      </c>
      <c r="S174" s="81" t="n">
        <f aca="false">SUM(M174:R174)</f>
        <v>0</v>
      </c>
      <c r="T174" s="81" t="n">
        <f aca="false">L174-S174</f>
        <v>0</v>
      </c>
      <c r="U174" s="81" t="n">
        <f aca="false">IF(C174='W Budget &amp; Owners'!$I$14,'W Budget &amp; Owners'!$F$14*'W Sites'!$G$14,0)</f>
        <v>0</v>
      </c>
      <c r="V174" s="81" t="n">
        <f aca="false">'W Sites'!$G$14*'W Budget &amp; Owners'!$E$14*INDEX('W Assumptions'!$D$27:$F$27,1,D174)*(IF(C174='W Budget &amp; Owners'!$I$14,'W Assumptions'!$D$65,0)+IF(C174=DATE(YEAR('W Sites'!$F$14),MONTH('W Sites'!$F$14),1),1-'W Assumptions'!$D$65,0))+'W Sites'!$G$14*'W Budget &amp; Owners'!$E$14*IF(C174=DATE(2027,9,1),'W Assumptions'!$D$67,IF(C174=DATE(2028,9,1),'W Assumptions'!$D$69,0))</f>
        <v>0</v>
      </c>
      <c r="W174" s="81" t="n">
        <f aca="false">IF(((YEAR(C174)-YEAR('W Sites'!$F$14))*12+MONTH(C174)-MONTH('W Sites'!$F$14))&lt;'W Budget &amp; Owners'!$H$14,'W Budget &amp; Owners'!$E$14/'W Budget &amp; Owners'!$H$14*F174,0)+IF(C174&gt;=DATE(2027,9,1),'W Budget &amp; Owners'!$E$14*'W Assumptions'!$D$67/'W Budget &amp; Owners'!$H$14*F174,0)+IF(C174&gt;=DATE(2028,9,1),'W Budget &amp; Owners'!$E$14*'W Assumptions'!$D$69/'W Budget &amp; Owners'!$H$14*F174,0)</f>
        <v>0</v>
      </c>
      <c r="X174" s="81" t="n">
        <f aca="false">IF(C174='W Budget &amp; Owners'!$I$14,'W Budget &amp; Owners'!$G$14*'W Sites'!$G$14,0)</f>
        <v>0</v>
      </c>
      <c r="Y174" s="112" t="n">
        <f aca="false">IF(SUM($G$166:$G$175)=0,0,'W Fees &amp; KPI'!$Q$22*G174/SUM($G$166:$G$175))</f>
        <v>0</v>
      </c>
      <c r="Z174" s="119" t="n">
        <f aca="false">IF(SUM($G$166:$G$175)=0,0,SUM('W Fees &amp; KPI'!$J$22,'W Fees &amp; KPI'!$M$22)*G174/SUM($G$166:$G$175))</f>
        <v>0</v>
      </c>
      <c r="AA174" s="117" t="n">
        <f aca="false">T174-U174-Z174-Y174</f>
        <v>0</v>
      </c>
      <c r="AB174" s="119" t="n">
        <f aca="false">IF('W Fees &amp; KPI'!$D$22=0,0,T174-U174-Z174)</f>
        <v>0</v>
      </c>
    </row>
    <row r="175" customFormat="false" ht="21" hidden="false" customHeight="true" outlineLevel="0" collapsed="false">
      <c r="C175" s="144" t="n">
        <f aca="false">46753</f>
        <v>46753</v>
      </c>
      <c r="D175" s="81" t="n">
        <f aca="false">2</f>
        <v>2</v>
      </c>
      <c r="E175" s="81" t="str">
        <f aca="false">'W Sites'!C15</f>
        <v>S10</v>
      </c>
      <c r="F175" s="145" t="n">
        <f aca="false">'W Sites'!$G$15*MAX(0,EOMONTH(C175,0)-MAX(C175,'W Sites'!$F$15)+1)/DAY(EOMONTH(C175,0))</f>
        <v>0</v>
      </c>
      <c r="G175" s="145" t="n">
        <f aca="false">'W Sites'!$G$15*MAX(0,EOMONTH(C175,0)-MAX(C175,'W Sites'!$F$15,'W Assumptions'!$D$58)+1)/DAY(EOMONTH(C175,0))</f>
        <v>0</v>
      </c>
      <c r="H175" s="81" t="n">
        <f aca="false">'W Sites'!$H$15*F175*'W Sites'!$I$15*IF(((YEAR(C175)-YEAR('W Sites'!$F$15))*12+MONTH(C175)-MONTH('W Sites'!$F$15))=0,'W Assumptions'!$D$62,IF(((YEAR(C175)-YEAR('W Sites'!$F$15))*12+MONTH(C175)-MONTH('W Sites'!$F$15))=1,'W Assumptions'!$D$63,1))*INDEX('W Assumptions'!$D$7:$F$7,1,D175)*INDEX('W Assumptions'!$D$32:$F$32,1,D175)*INDEX('W Assumptions'!$D$80:$D$91,MONTH(C175),1)/AVERAGE('W Assumptions'!$D$80:$D$91)</f>
        <v>0</v>
      </c>
      <c r="I175" s="81" t="n">
        <f aca="false">H175*'W Sites'!$J$15/(1+'W Assumptions'!$D$39)*INDEX('W Assumptions'!$D$12:$F$12,1,D175)*INDEX('W Assumptions'!$D$33:$F$33,1,D175)</f>
        <v>0</v>
      </c>
      <c r="J175" s="81" t="n">
        <f aca="false">H175*'W Sites'!$K$15/(1+'W Assumptions'!$D$39)*INDEX('W Assumptions'!$D$12:$F$12,1,D175)*INDEX('W Assumptions'!$D$33:$F$33,1,D175)</f>
        <v>0</v>
      </c>
      <c r="K175" s="81" t="n">
        <f aca="false">'W Sites'!$L$15*F175*IF(((YEAR(C175)-YEAR('W Sites'!$F$15))*12+MONTH(C175)-MONTH('W Sites'!$F$15))=0,'W Assumptions'!$D$62,IF(((YEAR(C175)-YEAR('W Sites'!$F$15))*12+MONTH(C175)-MONTH('W Sites'!$F$15))=1,'W Assumptions'!$D$63,1))*INDEX('W Assumptions'!$D$7:$F$7,1,D175)*INDEX('W Assumptions'!$D$32:$F$32,1,D175)</f>
        <v>0</v>
      </c>
      <c r="L175" s="81" t="n">
        <f aca="false">SUM(I175:K175)</f>
        <v>0</v>
      </c>
      <c r="M175" s="81" t="n">
        <f aca="false">'W Site Costs'!$I$15*F175*INDEX('W Assumptions'!$D$34:$F$34,1,D175)*INDEX('W Assumptions'!$D$22:$F$22,1,D175)</f>
        <v>0</v>
      </c>
      <c r="N175" s="81" t="n">
        <f aca="false">'W Site Costs'!$J$15*F175*INDEX('W Assumptions'!$D$35:$F$35,1,D175)*INDEX('W Assumptions'!$D$22:$F$22,1,D175)</f>
        <v>0</v>
      </c>
      <c r="O175" s="81" t="n">
        <f aca="false">L175*'W Site Costs'!$K$15</f>
        <v>0</v>
      </c>
      <c r="P175" s="81" t="n">
        <f aca="false">SUM('W Site Costs'!$L$15:$Q$15)*F175*INDEX('W Assumptions'!$D$35:$F$35,1,D175)*INDEX('W Assumptions'!$D$22:$F$22,1,D175)</f>
        <v>0</v>
      </c>
      <c r="Q175" s="81" t="n">
        <f aca="false">L175*'W Site Costs'!$R$15*INDEX('W Assumptions'!$D$17:$F$17,1,D175)</f>
        <v>0</v>
      </c>
      <c r="R175" s="112" t="n">
        <f aca="false">L175*'W Sites'!$M$15</f>
        <v>0</v>
      </c>
      <c r="S175" s="81" t="n">
        <f aca="false">SUM(M175:R175)</f>
        <v>0</v>
      </c>
      <c r="T175" s="81" t="n">
        <f aca="false">L175-S175</f>
        <v>0</v>
      </c>
      <c r="U175" s="81" t="n">
        <f aca="false">IF(C175='W Budget &amp; Owners'!$I$15,'W Budget &amp; Owners'!$F$15*'W Sites'!$G$15,0)</f>
        <v>0</v>
      </c>
      <c r="V175" s="81" t="n">
        <f aca="false">'W Sites'!$G$15*'W Budget &amp; Owners'!$E$15*INDEX('W Assumptions'!$D$27:$F$27,1,D175)*(IF(C175='W Budget &amp; Owners'!$I$15,'W Assumptions'!$D$65,0)+IF(C175=DATE(YEAR('W Sites'!$F$15),MONTH('W Sites'!$F$15),1),1-'W Assumptions'!$D$65,0))+'W Sites'!$G$15*'W Budget &amp; Owners'!$E$15*IF(C175=DATE(2027,9,1),'W Assumptions'!$D$67,IF(C175=DATE(2028,9,1),'W Assumptions'!$D$69,0))</f>
        <v>0</v>
      </c>
      <c r="W175" s="81" t="n">
        <f aca="false">IF(((YEAR(C175)-YEAR('W Sites'!$F$15))*12+MONTH(C175)-MONTH('W Sites'!$F$15))&lt;'W Budget &amp; Owners'!$H$15,'W Budget &amp; Owners'!$E$15/'W Budget &amp; Owners'!$H$15*F175,0)+IF(C175&gt;=DATE(2027,9,1),'W Budget &amp; Owners'!$E$15*'W Assumptions'!$D$67/'W Budget &amp; Owners'!$H$15*F175,0)+IF(C175&gt;=DATE(2028,9,1),'W Budget &amp; Owners'!$E$15*'W Assumptions'!$D$69/'W Budget &amp; Owners'!$H$15*F175,0)</f>
        <v>0</v>
      </c>
      <c r="X175" s="81" t="n">
        <f aca="false">IF(C175='W Budget &amp; Owners'!$I$15,'W Budget &amp; Owners'!$G$15*'W Sites'!$G$15,0)</f>
        <v>0</v>
      </c>
      <c r="Y175" s="112" t="n">
        <f aca="false">IF(SUM($G$166:$G$175)=0,0,'W Fees &amp; KPI'!$Q$22*G175/SUM($G$166:$G$175))</f>
        <v>0</v>
      </c>
      <c r="Z175" s="119" t="n">
        <f aca="false">IF(SUM($G$166:$G$175)=0,0,SUM('W Fees &amp; KPI'!$J$22,'W Fees &amp; KPI'!$M$22)*G175/SUM($G$166:$G$175))</f>
        <v>0</v>
      </c>
      <c r="AA175" s="117" t="n">
        <f aca="false">T175-U175-Z175-Y175</f>
        <v>0</v>
      </c>
      <c r="AB175" s="119" t="n">
        <f aca="false">IF('W Fees &amp; KPI'!$D$22=0,0,T175-U175-Z175)</f>
        <v>0</v>
      </c>
    </row>
    <row r="176" customFormat="false" ht="21" hidden="false" customHeight="true" outlineLevel="0" collapsed="false">
      <c r="C176" s="144" t="n">
        <f aca="false">46784</f>
        <v>46784</v>
      </c>
      <c r="D176" s="81" t="n">
        <f aca="false">2</f>
        <v>2</v>
      </c>
      <c r="E176" s="81" t="str">
        <f aca="false">'W Sites'!C6</f>
        <v>S01</v>
      </c>
      <c r="F176" s="145" t="n">
        <f aca="false">'W Sites'!$G$6*MAX(0,EOMONTH(C176,0)-MAX(C176,'W Sites'!$F$6)+1)/DAY(EOMONTH(C176,0))</f>
        <v>1</v>
      </c>
      <c r="G176" s="145" t="n">
        <f aca="false">'W Sites'!$G$6*MAX(0,EOMONTH(C176,0)-MAX(C176,'W Sites'!$F$6,'W Assumptions'!$D$58)+1)/DAY(EOMONTH(C176,0))</f>
        <v>1</v>
      </c>
      <c r="H176" s="81" t="n">
        <f aca="false">'W Sites'!$D$45*INDEX('W Sites'!$E$65:$E$76,MONTH(C176),1)/SUM('W Sites'!$E$65:$E$76)*F176*(1+'W Sites'!$D$56)^(D176-1)*INDEX('W Assumptions'!$D$7:$F$7,1,D176)</f>
        <v>3105.8</v>
      </c>
      <c r="I176" s="81" t="n">
        <f aca="false">H176*'W Sites'!$D$46/(1+'W Sites'!$D$54*'W Assumptions'!$D$39)*INDEX('W Assumptions'!$D$12:$F$12,1,D176)</f>
        <v>170819</v>
      </c>
      <c r="J176" s="81" t="n">
        <f aca="false">H176*SUM('W Sites'!$D$47:$D$49)/(1+'W Sites'!$D$54*'W Assumptions'!$D$39)*INDEX('W Assumptions'!$D$12:$F$12,1,D176)</f>
        <v>93174</v>
      </c>
      <c r="K176" s="81" t="n">
        <f aca="false">SUM('W Sites'!$D$50:$D$52)/12*F176*(1+'W Sites'!$D$56)^(D176-1)*INDEX('W Assumptions'!$D$7:$F$7,1,D176)*INDEX('W Assumptions'!$D$12:$F$12,1,D176)/(1+'W Sites'!$D$54*'W Assumptions'!$D$39)</f>
        <v>35333.3333333333</v>
      </c>
      <c r="L176" s="81" t="n">
        <f aca="false">SUM(I176:K176)</f>
        <v>299326.333333333</v>
      </c>
      <c r="M176" s="81" t="n">
        <f aca="false">('W Site Costs'!$I$6+INDEX('W Sites'!$F$65:$F$76,MONTH(C176),1)*'W Site Costs'!$V$6)*F176*(1+'W Sites'!$D$58)^(D176-1)*INDEX('W Assumptions'!$D$22:$F$22,1,D176)</f>
        <v>112840</v>
      </c>
      <c r="N176" s="81" t="n">
        <f aca="false">'W Site Costs'!$J$6*F176*INDEX('W Assumptions'!$D$35:$F$35,1,D176)*INDEX('W Assumptions'!$D$22:$F$22,1,D176)</f>
        <v>15600</v>
      </c>
      <c r="O176" s="81" t="n">
        <f aca="false">L176*'W Site Costs'!$K$6</f>
        <v>0</v>
      </c>
      <c r="P176" s="81" t="n">
        <f aca="false">(SUM('W Site Costs'!$L$6:$Q$6)+INDEX('W Sites'!$F$65:$F$76,MONTH(C176),1)*'W Site Costs'!$W$6)*F176*(1+'W Sites'!$D$58)^(D176-1)*INDEX('W Assumptions'!$D$22:$F$22,1,D176)</f>
        <v>76960</v>
      </c>
      <c r="Q176" s="81" t="n">
        <f aca="false">('W Site Costs'!$X$6+INDEX('W Sites'!$F$65:$F$76,MONTH(C176),1)*'W Site Costs'!$Y$6)*F176*(1+'W Sites'!$D$58)^(D176-1)*INDEX('W Assumptions'!$D$17:$F$17,1,D176)</f>
        <v>18720</v>
      </c>
      <c r="R176" s="112" t="n">
        <f aca="false">L176*'W Sites'!$M$6</f>
        <v>0</v>
      </c>
      <c r="S176" s="81" t="n">
        <f aca="false">SUM(M176:R176)</f>
        <v>224120</v>
      </c>
      <c r="T176" s="81" t="n">
        <f aca="false">L176-S176</f>
        <v>75206.3333333333</v>
      </c>
      <c r="U176" s="81" t="n">
        <f aca="false">IF(C176='W Budget &amp; Owners'!$I$6,'W Budget &amp; Owners'!$F$6*'W Sites'!$G$6,0)</f>
        <v>0</v>
      </c>
      <c r="V176" s="81" t="n">
        <f aca="false">'W Sites'!$G$6*'W Budget &amp; Owners'!$E$6*INDEX('W Assumptions'!$D$27:$F$27,1,D176)*(IF(C176='W Budget &amp; Owners'!$I$6,'W Assumptions'!$D$65,0)+IF(C176=DATE(YEAR('W Sites'!$F$6),MONTH('W Sites'!$F$6),1),1-'W Assumptions'!$D$65,0))+'W Sites'!$G$6*'W Budget &amp; Owners'!$E$6*IF(C176=DATE(2027,9,1),'W Assumptions'!$D$67,IF(C176=DATE(2028,9,1),'W Assumptions'!$D$69,0))</f>
        <v>0</v>
      </c>
      <c r="W176" s="81" t="n">
        <f aca="false">IF(((YEAR(C176)-YEAR('W Sites'!$F$6))*12+MONTH(C176)-MONTH('W Sites'!$F$6))&lt;'W Budget &amp; Owners'!$H$6,'W Budget &amp; Owners'!$E$6/'W Budget &amp; Owners'!$H$6*F176,0)+IF(C176&gt;=DATE(2027,9,1),'W Budget &amp; Owners'!$E$6*'W Assumptions'!$D$67/'W Budget &amp; Owners'!$H$6*F176,0)+IF(C176&gt;=DATE(2028,9,1),'W Budget &amp; Owners'!$E$6*'W Assumptions'!$D$69/'W Budget &amp; Owners'!$H$6*F176,0)</f>
        <v>5950</v>
      </c>
      <c r="X176" s="81" t="n">
        <f aca="false">IF(C176='W Budget &amp; Owners'!$I$6,'W Budget &amp; Owners'!$G$6*'W Sites'!$G$6,0)</f>
        <v>0</v>
      </c>
      <c r="Y176" s="112" t="n">
        <f aca="false">IF(SUM($G$176:$G$185)=0,0,'W Fees &amp; KPI'!$Q$23*G176/SUM($G$176:$G$185))</f>
        <v>2724.29468115942</v>
      </c>
      <c r="Z176" s="119" t="n">
        <f aca="false">IF(SUM($G$176:$G$185)=0,0,SUM('W Fees &amp; KPI'!$J$23,'W Fees &amp; KPI'!$M$23)*G176/SUM($G$176:$G$185))</f>
        <v>4611.25</v>
      </c>
      <c r="AA176" s="117" t="n">
        <f aca="false">T176-U176-Z176-Y176</f>
        <v>67870.7886521739</v>
      </c>
      <c r="AB176" s="119" t="n">
        <f aca="false">IF('W Fees &amp; KPI'!$D$23=0,0,T176-U176-Z176)</f>
        <v>70595.0833333333</v>
      </c>
    </row>
    <row r="177" customFormat="false" ht="21" hidden="false" customHeight="true" outlineLevel="0" collapsed="false">
      <c r="C177" s="144" t="n">
        <f aca="false">46784</f>
        <v>46784</v>
      </c>
      <c r="D177" s="81" t="n">
        <f aca="false">2</f>
        <v>2</v>
      </c>
      <c r="E177" s="81" t="str">
        <f aca="false">'W Sites'!C7</f>
        <v>S02</v>
      </c>
      <c r="F177" s="145" t="n">
        <f aca="false">'W Sites'!$G$7*MAX(0,EOMONTH(C177,0)-MAX(C177,'W Sites'!$F$7)+1)/DAY(EOMONTH(C177,0))</f>
        <v>1</v>
      </c>
      <c r="G177" s="145" t="n">
        <f aca="false">'W Sites'!$G$7*MAX(0,EOMONTH(C177,0)-MAX(C177,'W Sites'!$F$7,'W Assumptions'!$D$58)+1)/DAY(EOMONTH(C177,0))</f>
        <v>1</v>
      </c>
      <c r="H177" s="81" t="n">
        <f aca="false">'W Sites'!$H$7*F177*'W Sites'!$I$7*IF(((YEAR(C177)-YEAR('W Sites'!$F$7))*12+MONTH(C177)-MONTH('W Sites'!$F$7))=0,'W Assumptions'!$D$62,IF(((YEAR(C177)-YEAR('W Sites'!$F$7))*12+MONTH(C177)-MONTH('W Sites'!$F$7))=1,'W Assumptions'!$D$63,1))*INDEX('W Assumptions'!$D$7:$F$7,1,D177)*INDEX('W Assumptions'!$D$32:$F$32,1,D177)*INDEX('W Assumptions'!$D$80:$D$91,MONTH(C177),1)/AVERAGE('W Assumptions'!$D$80:$D$91)</f>
        <v>2310</v>
      </c>
      <c r="I177" s="81" t="n">
        <f aca="false">H177*'W Sites'!$J$7/(1+'W Assumptions'!$D$39)*INDEX('W Assumptions'!$D$12:$F$12,1,D177)*INDEX('W Assumptions'!$D$33:$F$33,1,D177)</f>
        <v>72413.4782608696</v>
      </c>
      <c r="J177" s="81" t="n">
        <f aca="false">H177*'W Sites'!$K$7/(1+'W Assumptions'!$D$39)*INDEX('W Assumptions'!$D$12:$F$12,1,D177)*INDEX('W Assumptions'!$D$33:$F$33,1,D177)</f>
        <v>6206.86956521739</v>
      </c>
      <c r="K177" s="81" t="n">
        <f aca="false">'W Sites'!$L$7*F177*IF(((YEAR(C177)-YEAR('W Sites'!$F$7))*12+MONTH(C177)-MONTH('W Sites'!$F$7))=0,'W Assumptions'!$D$62,IF(((YEAR(C177)-YEAR('W Sites'!$F$7))*12+MONTH(C177)-MONTH('W Sites'!$F$7))=1,'W Assumptions'!$D$63,1))*INDEX('W Assumptions'!$D$7:$F$7,1,D177)*INDEX('W Assumptions'!$D$32:$F$32,1,D177)</f>
        <v>5500</v>
      </c>
      <c r="L177" s="81" t="n">
        <f aca="false">SUM(I177:K177)</f>
        <v>84120.347826087</v>
      </c>
      <c r="M177" s="81" t="n">
        <f aca="false">'W Site Costs'!$I$7*F177*INDEX('W Assumptions'!$D$34:$F$34,1,D177)*INDEX('W Assumptions'!$D$22:$F$22,1,D177)</f>
        <v>34072.5</v>
      </c>
      <c r="N177" s="81" t="n">
        <f aca="false">'W Site Costs'!$J$7*F177*INDEX('W Assumptions'!$D$35:$F$35,1,D177)*INDEX('W Assumptions'!$D$22:$F$22,1,D177)</f>
        <v>0</v>
      </c>
      <c r="O177" s="81" t="n">
        <f aca="false">L177*'W Site Costs'!$K$7</f>
        <v>12618.052173913</v>
      </c>
      <c r="P177" s="81" t="n">
        <f aca="false">SUM('W Site Costs'!$L$7:$Q$7)*F177*INDEX('W Assumptions'!$D$35:$F$35,1,D177)*INDEX('W Assumptions'!$D$22:$F$22,1,D177)</f>
        <v>12168</v>
      </c>
      <c r="Q177" s="81" t="n">
        <f aca="false">L177*'W Site Costs'!$R$7*INDEX('W Assumptions'!$D$17:$F$17,1,D177)</f>
        <v>5047.22086956522</v>
      </c>
      <c r="R177" s="112" t="n">
        <f aca="false">L177*'W Sites'!$M$7</f>
        <v>0</v>
      </c>
      <c r="S177" s="81" t="n">
        <f aca="false">SUM(M177:R177)</f>
        <v>63905.7730434783</v>
      </c>
      <c r="T177" s="81" t="n">
        <f aca="false">L177-S177</f>
        <v>20214.5747826087</v>
      </c>
      <c r="U177" s="81" t="n">
        <f aca="false">IF(C177='W Budget &amp; Owners'!$I$7,'W Budget &amp; Owners'!$F$7*'W Sites'!$G$7,0)</f>
        <v>0</v>
      </c>
      <c r="V177" s="81" t="n">
        <f aca="false">'W Sites'!$G$7*'W Budget &amp; Owners'!$E$7*INDEX('W Assumptions'!$D$27:$F$27,1,D177)*(IF(C177='W Budget &amp; Owners'!$I$7,'W Assumptions'!$D$65,0)+IF(C177=DATE(YEAR('W Sites'!$F$7),MONTH('W Sites'!$F$7),1),1-'W Assumptions'!$D$65,0))+'W Sites'!$G$7*'W Budget &amp; Owners'!$E$7*IF(C177=DATE(2027,9,1),'W Assumptions'!$D$67,IF(C177=DATE(2028,9,1),'W Assumptions'!$D$69,0))</f>
        <v>0</v>
      </c>
      <c r="W177" s="81" t="n">
        <f aca="false">IF(((YEAR(C177)-YEAR('W Sites'!$F$7))*12+MONTH(C177)-MONTH('W Sites'!$F$7))&lt;'W Budget &amp; Owners'!$H$7,'W Budget &amp; Owners'!$E$7/'W Budget &amp; Owners'!$H$7*F177,0)+IF(C177&gt;=DATE(2027,9,1),'W Budget &amp; Owners'!$E$7*'W Assumptions'!$D$67/'W Budget &amp; Owners'!$H$7*F177,0)+IF(C177&gt;=DATE(2028,9,1),'W Budget &amp; Owners'!$E$7*'W Assumptions'!$D$69/'W Budget &amp; Owners'!$H$7*F177,0)</f>
        <v>1360</v>
      </c>
      <c r="X177" s="81" t="n">
        <f aca="false">IF(C177='W Budget &amp; Owners'!$I$7,'W Budget &amp; Owners'!$G$7*'W Sites'!$G$7,0)</f>
        <v>0</v>
      </c>
      <c r="Y177" s="112" t="n">
        <f aca="false">IF(SUM($G$176:$G$185)=0,0,'W Fees &amp; KPI'!$Q$23*G177/SUM($G$176:$G$185))</f>
        <v>2724.29468115942</v>
      </c>
      <c r="Z177" s="119" t="n">
        <f aca="false">IF(SUM($G$176:$G$185)=0,0,SUM('W Fees &amp; KPI'!$J$23,'W Fees &amp; KPI'!$M$23)*G177/SUM($G$176:$G$185))</f>
        <v>4611.25</v>
      </c>
      <c r="AA177" s="117" t="n">
        <f aca="false">T177-U177-Z177-Y177</f>
        <v>12879.0301014493</v>
      </c>
      <c r="AB177" s="119" t="n">
        <f aca="false">IF('W Fees &amp; KPI'!$D$23=0,0,T177-U177-Z177)</f>
        <v>15603.3247826087</v>
      </c>
    </row>
    <row r="178" customFormat="false" ht="21" hidden="false" customHeight="true" outlineLevel="0" collapsed="false">
      <c r="C178" s="144" t="n">
        <f aca="false">46784</f>
        <v>46784</v>
      </c>
      <c r="D178" s="81" t="n">
        <f aca="false">2</f>
        <v>2</v>
      </c>
      <c r="E178" s="81" t="str">
        <f aca="false">'W Sites'!C8</f>
        <v>S03</v>
      </c>
      <c r="F178" s="145" t="n">
        <f aca="false">'W Sites'!$G$8*MAX(0,EOMONTH(C178,0)-MAX(C178,'W Sites'!$F$8)+1)/DAY(EOMONTH(C178,0))</f>
        <v>1</v>
      </c>
      <c r="G178" s="145" t="n">
        <f aca="false">'W Sites'!$G$8*MAX(0,EOMONTH(C178,0)-MAX(C178,'W Sites'!$F$8,'W Assumptions'!$D$58)+1)/DAY(EOMONTH(C178,0))</f>
        <v>1</v>
      </c>
      <c r="H178" s="81" t="n">
        <f aca="false">'W Sites'!$H$8*F178*'W Sites'!$I$8*IF(((YEAR(C178)-YEAR('W Sites'!$F$8))*12+MONTH(C178)-MONTH('W Sites'!$F$8))=0,'W Assumptions'!$D$62,IF(((YEAR(C178)-YEAR('W Sites'!$F$8))*12+MONTH(C178)-MONTH('W Sites'!$F$8))=1,'W Assumptions'!$D$63,1))*INDEX('W Assumptions'!$D$7:$F$7,1,D178)*INDEX('W Assumptions'!$D$32:$F$32,1,D178)*INDEX('W Assumptions'!$D$80:$D$91,MONTH(C178),1)/AVERAGE('W Assumptions'!$D$80:$D$91)</f>
        <v>3119.17808219178</v>
      </c>
      <c r="I178" s="81" t="n">
        <f aca="false">H178*'W Sites'!$J$8/(1+'W Assumptions'!$D$39)*INDEX('W Assumptions'!$D$12:$F$12,1,D178)*INDEX('W Assumptions'!$D$33:$F$33,1,D178)</f>
        <v>181590.410958904</v>
      </c>
      <c r="J178" s="81" t="n">
        <f aca="false">H178*'W Sites'!$K$8/(1+'W Assumptions'!$D$39)*INDEX('W Assumptions'!$D$12:$F$12,1,D178)*INDEX('W Assumptions'!$D$33:$F$33,1,D178)</f>
        <v>22349.5890410959</v>
      </c>
      <c r="K178" s="81" t="n">
        <f aca="false">'W Sites'!$L$8*F178*IF(((YEAR(C178)-YEAR('W Sites'!$F$8))*12+MONTH(C178)-MONTH('W Sites'!$F$8))=0,'W Assumptions'!$D$62,IF(((YEAR(C178)-YEAR('W Sites'!$F$8))*12+MONTH(C178)-MONTH('W Sites'!$F$8))=1,'W Assumptions'!$D$63,1))*INDEX('W Assumptions'!$D$7:$F$7,1,D178)*INDEX('W Assumptions'!$D$32:$F$32,1,D178)</f>
        <v>22000</v>
      </c>
      <c r="L178" s="81" t="n">
        <f aca="false">SUM(I178:K178)</f>
        <v>225940</v>
      </c>
      <c r="M178" s="81" t="n">
        <f aca="false">'W Site Costs'!$I$8*F178*INDEX('W Assumptions'!$D$34:$F$34,1,D178)*INDEX('W Assumptions'!$D$22:$F$22,1,D178)</f>
        <v>50427.3</v>
      </c>
      <c r="N178" s="81" t="n">
        <f aca="false">'W Site Costs'!$J$8*F178*INDEX('W Assumptions'!$D$35:$F$35,1,D178)*INDEX('W Assumptions'!$D$22:$F$22,1,D178)</f>
        <v>36400</v>
      </c>
      <c r="O178" s="81" t="n">
        <f aca="false">L178*'W Site Costs'!$K$8</f>
        <v>0</v>
      </c>
      <c r="P178" s="81" t="n">
        <f aca="false">SUM('W Site Costs'!$L$8:$Q$8)*F178*INDEX('W Assumptions'!$D$35:$F$35,1,D178)*INDEX('W Assumptions'!$D$22:$F$22,1,D178)</f>
        <v>20280</v>
      </c>
      <c r="Q178" s="81" t="n">
        <f aca="false">L178*'W Site Costs'!$R$8*INDEX('W Assumptions'!$D$17:$F$17,1,D178)</f>
        <v>18075.2</v>
      </c>
      <c r="R178" s="112" t="n">
        <f aca="false">L178*'W Sites'!$M$8</f>
        <v>0</v>
      </c>
      <c r="S178" s="81" t="n">
        <f aca="false">SUM(M178:R178)</f>
        <v>125182.5</v>
      </c>
      <c r="T178" s="81" t="n">
        <f aca="false">L178-S178</f>
        <v>100757.5</v>
      </c>
      <c r="U178" s="81" t="n">
        <f aca="false">IF(C178='W Budget &amp; Owners'!$I$8,'W Budget &amp; Owners'!$F$8*'W Sites'!$G$8,0)</f>
        <v>0</v>
      </c>
      <c r="V178" s="81" t="n">
        <f aca="false">'W Sites'!$G$8*'W Budget &amp; Owners'!$E$8*INDEX('W Assumptions'!$D$27:$F$27,1,D178)*(IF(C178='W Budget &amp; Owners'!$I$8,'W Assumptions'!$D$65,0)+IF(C178=DATE(YEAR('W Sites'!$F$8),MONTH('W Sites'!$F$8),1),1-'W Assumptions'!$D$65,0))+'W Sites'!$G$8*'W Budget &amp; Owners'!$E$8*IF(C178=DATE(2027,9,1),'W Assumptions'!$D$67,IF(C178=DATE(2028,9,1),'W Assumptions'!$D$69,0))</f>
        <v>0</v>
      </c>
      <c r="W178" s="81" t="n">
        <f aca="false">IF(((YEAR(C178)-YEAR('W Sites'!$F$8))*12+MONTH(C178)-MONTH('W Sites'!$F$8))&lt;'W Budget &amp; Owners'!$H$8,'W Budget &amp; Owners'!$E$8/'W Budget &amp; Owners'!$H$8*F178,0)+IF(C178&gt;=DATE(2027,9,1),'W Budget &amp; Owners'!$E$8*'W Assumptions'!$D$67/'W Budget &amp; Owners'!$H$8*F178,0)+IF(C178&gt;=DATE(2028,9,1),'W Budget &amp; Owners'!$E$8*'W Assumptions'!$D$69/'W Budget &amp; Owners'!$H$8*F178,0)</f>
        <v>10200</v>
      </c>
      <c r="X178" s="81" t="n">
        <f aca="false">IF(C178='W Budget &amp; Owners'!$I$8,'W Budget &amp; Owners'!$G$8*'W Sites'!$G$8,0)</f>
        <v>0</v>
      </c>
      <c r="Y178" s="112" t="n">
        <f aca="false">IF(SUM($G$176:$G$185)=0,0,'W Fees &amp; KPI'!$Q$23*G178/SUM($G$176:$G$185))</f>
        <v>2724.29468115942</v>
      </c>
      <c r="Z178" s="119" t="n">
        <f aca="false">IF(SUM($G$176:$G$185)=0,0,SUM('W Fees &amp; KPI'!$J$23,'W Fees &amp; KPI'!$M$23)*G178/SUM($G$176:$G$185))</f>
        <v>4611.25</v>
      </c>
      <c r="AA178" s="117" t="n">
        <f aca="false">T178-U178-Z178-Y178</f>
        <v>93421.9553188407</v>
      </c>
      <c r="AB178" s="119" t="n">
        <f aca="false">IF('W Fees &amp; KPI'!$D$23=0,0,T178-U178-Z178)</f>
        <v>96146.2500000001</v>
      </c>
    </row>
    <row r="179" customFormat="false" ht="21" hidden="false" customHeight="true" outlineLevel="0" collapsed="false">
      <c r="C179" s="144" t="n">
        <f aca="false">46784</f>
        <v>46784</v>
      </c>
      <c r="D179" s="81" t="n">
        <f aca="false">2</f>
        <v>2</v>
      </c>
      <c r="E179" s="81" t="str">
        <f aca="false">'W Sites'!C9</f>
        <v>S04</v>
      </c>
      <c r="F179" s="145" t="n">
        <f aca="false">'W Sites'!$G$9*MAX(0,EOMONTH(C179,0)-MAX(C179,'W Sites'!$F$9)+1)/DAY(EOMONTH(C179,0))</f>
        <v>1</v>
      </c>
      <c r="G179" s="145" t="n">
        <f aca="false">'W Sites'!$G$9*MAX(0,EOMONTH(C179,0)-MAX(C179,'W Sites'!$F$9,'W Assumptions'!$D$58)+1)/DAY(EOMONTH(C179,0))</f>
        <v>1</v>
      </c>
      <c r="H179" s="81" t="n">
        <f aca="false">'W Sites'!$H$9*F179*'W Sites'!$I$9*IF(((YEAR(C179)-YEAR('W Sites'!$F$9))*12+MONTH(C179)-MONTH('W Sites'!$F$9))=0,'W Assumptions'!$D$62,IF(((YEAR(C179)-YEAR('W Sites'!$F$9))*12+MONTH(C179)-MONTH('W Sites'!$F$9))=1,'W Assumptions'!$D$63,1))*INDEX('W Assumptions'!$D$7:$F$7,1,D179)*INDEX('W Assumptions'!$D$32:$F$32,1,D179)*INDEX('W Assumptions'!$D$80:$D$91,MONTH(C179),1)/AVERAGE('W Assumptions'!$D$80:$D$91)</f>
        <v>2196.18055555556</v>
      </c>
      <c r="I179" s="81" t="n">
        <f aca="false">H179*'W Sites'!$J$9/(1+'W Assumptions'!$D$39)*INDEX('W Assumptions'!$D$12:$F$12,1,D179)*INDEX('W Assumptions'!$D$33:$F$33,1,D179)</f>
        <v>127855.902777778</v>
      </c>
      <c r="J179" s="81" t="n">
        <f aca="false">H179*'W Sites'!$K$9/(1+'W Assumptions'!$D$39)*INDEX('W Assumptions'!$D$12:$F$12,1,D179)*INDEX('W Assumptions'!$D$33:$F$33,1,D179)</f>
        <v>13769.0972222222</v>
      </c>
      <c r="K179" s="81" t="n">
        <f aca="false">'W Sites'!$L$9*F179*IF(((YEAR(C179)-YEAR('W Sites'!$F$9))*12+MONTH(C179)-MONTH('W Sites'!$F$9))=0,'W Assumptions'!$D$62,IF(((YEAR(C179)-YEAR('W Sites'!$F$9))*12+MONTH(C179)-MONTH('W Sites'!$F$9))=1,'W Assumptions'!$D$63,1))*INDEX('W Assumptions'!$D$7:$F$7,1,D179)*INDEX('W Assumptions'!$D$32:$F$32,1,D179)</f>
        <v>16500</v>
      </c>
      <c r="L179" s="81" t="n">
        <f aca="false">SUM(I179:K179)</f>
        <v>158125</v>
      </c>
      <c r="M179" s="81" t="n">
        <f aca="false">'W Site Costs'!$I$9*F179*INDEX('W Assumptions'!$D$34:$F$34,1,D179)*INDEX('W Assumptions'!$D$22:$F$22,1,D179)</f>
        <v>39648</v>
      </c>
      <c r="N179" s="81" t="n">
        <f aca="false">'W Site Costs'!$J$9*F179*INDEX('W Assumptions'!$D$35:$F$35,1,D179)*INDEX('W Assumptions'!$D$22:$F$22,1,D179)</f>
        <v>22880</v>
      </c>
      <c r="O179" s="81" t="n">
        <f aca="false">L179*'W Site Costs'!$K$9</f>
        <v>0</v>
      </c>
      <c r="P179" s="81" t="n">
        <f aca="false">SUM('W Site Costs'!$L$9:$Q$9)*F179*INDEX('W Assumptions'!$D$35:$F$35,1,D179)*INDEX('W Assumptions'!$D$22:$F$22,1,D179)</f>
        <v>16120</v>
      </c>
      <c r="Q179" s="81" t="n">
        <f aca="false">L179*'W Site Costs'!$R$9*INDEX('W Assumptions'!$D$17:$F$17,1,D179)</f>
        <v>12650</v>
      </c>
      <c r="R179" s="112" t="n">
        <f aca="false">L179*'W Sites'!$M$9</f>
        <v>0</v>
      </c>
      <c r="S179" s="81" t="n">
        <f aca="false">SUM(M179:R179)</f>
        <v>91298</v>
      </c>
      <c r="T179" s="81" t="n">
        <f aca="false">L179-S179</f>
        <v>66827</v>
      </c>
      <c r="U179" s="81" t="n">
        <f aca="false">IF(C179='W Budget &amp; Owners'!$I$9,'W Budget &amp; Owners'!$F$9*'W Sites'!$G$9,0)</f>
        <v>0</v>
      </c>
      <c r="V179" s="81" t="n">
        <f aca="false">'W Sites'!$G$9*'W Budget &amp; Owners'!$E$9*INDEX('W Assumptions'!$D$27:$F$27,1,D179)*(IF(C179='W Budget &amp; Owners'!$I$9,'W Assumptions'!$D$65,0)+IF(C179=DATE(YEAR('W Sites'!$F$9),MONTH('W Sites'!$F$9),1),1-'W Assumptions'!$D$65,0))+'W Sites'!$G$9*'W Budget &amp; Owners'!$E$9*IF(C179=DATE(2027,9,1),'W Assumptions'!$D$67,IF(C179=DATE(2028,9,1),'W Assumptions'!$D$69,0))</f>
        <v>0</v>
      </c>
      <c r="W179" s="81" t="n">
        <f aca="false">IF(((YEAR(C179)-YEAR('W Sites'!$F$9))*12+MONTH(C179)-MONTH('W Sites'!$F$9))&lt;'W Budget &amp; Owners'!$H$9,'W Budget &amp; Owners'!$E$9/'W Budget &amp; Owners'!$H$9*F179,0)+IF(C179&gt;=DATE(2027,9,1),'W Budget &amp; Owners'!$E$9*'W Assumptions'!$D$67/'W Budget &amp; Owners'!$H$9*F179,0)+IF(C179&gt;=DATE(2028,9,1),'W Budget &amp; Owners'!$E$9*'W Assumptions'!$D$69/'W Budget &amp; Owners'!$H$9*F179,0)</f>
        <v>8500</v>
      </c>
      <c r="X179" s="81" t="n">
        <f aca="false">IF(C179='W Budget &amp; Owners'!$I$9,'W Budget &amp; Owners'!$G$9*'W Sites'!$G$9,0)</f>
        <v>0</v>
      </c>
      <c r="Y179" s="112" t="n">
        <f aca="false">IF(SUM($G$176:$G$185)=0,0,'W Fees &amp; KPI'!$Q$23*G179/SUM($G$176:$G$185))</f>
        <v>2724.29468115942</v>
      </c>
      <c r="Z179" s="119" t="n">
        <f aca="false">IF(SUM($G$176:$G$185)=0,0,SUM('W Fees &amp; KPI'!$J$23,'W Fees &amp; KPI'!$M$23)*G179/SUM($G$176:$G$185))</f>
        <v>4611.25</v>
      </c>
      <c r="AA179" s="117" t="n">
        <f aca="false">T179-U179-Z179-Y179</f>
        <v>59491.4553188406</v>
      </c>
      <c r="AB179" s="119" t="n">
        <f aca="false">IF('W Fees &amp; KPI'!$D$23=0,0,T179-U179-Z179)</f>
        <v>62215.75</v>
      </c>
    </row>
    <row r="180" customFormat="false" ht="21" hidden="false" customHeight="true" outlineLevel="0" collapsed="false">
      <c r="C180" s="144" t="n">
        <f aca="false">46784</f>
        <v>46784</v>
      </c>
      <c r="D180" s="81" t="n">
        <f aca="false">2</f>
        <v>2</v>
      </c>
      <c r="E180" s="81" t="str">
        <f aca="false">'W Sites'!C10</f>
        <v>S05</v>
      </c>
      <c r="F180" s="145" t="n">
        <f aca="false">'W Sites'!$G$10*MAX(0,EOMONTH(C180,0)-MAX(C180,'W Sites'!$F$10)+1)/DAY(EOMONTH(C180,0))</f>
        <v>1</v>
      </c>
      <c r="G180" s="145" t="n">
        <f aca="false">'W Sites'!$G$10*MAX(0,EOMONTH(C180,0)-MAX(C180,'W Sites'!$F$10,'W Assumptions'!$D$58)+1)/DAY(EOMONTH(C180,0))</f>
        <v>1</v>
      </c>
      <c r="H180" s="81" t="n">
        <f aca="false">'W Sites'!$H$10*F180*'W Sites'!$I$10*IF(((YEAR(C180)-YEAR('W Sites'!$F$10))*12+MONTH(C180)-MONTH('W Sites'!$F$10))=0,'W Assumptions'!$D$62,IF(((YEAR(C180)-YEAR('W Sites'!$F$10))*12+MONTH(C180)-MONTH('W Sites'!$F$10))=1,'W Assumptions'!$D$63,1))*INDEX('W Assumptions'!$D$7:$F$7,1,D180)*INDEX('W Assumptions'!$D$32:$F$32,1,D180)*INDEX('W Assumptions'!$D$80:$D$91,MONTH(C180),1)/AVERAGE('W Assumptions'!$D$80:$D$91)</f>
        <v>2807.2602739726</v>
      </c>
      <c r="I180" s="81" t="n">
        <f aca="false">H180*'W Sites'!$J$10/(1+'W Assumptions'!$D$39)*INDEX('W Assumptions'!$D$12:$F$12,1,D180)*INDEX('W Assumptions'!$D$33:$F$33,1,D180)</f>
        <v>163431.369863014</v>
      </c>
      <c r="J180" s="81" t="n">
        <f aca="false">H180*'W Sites'!$K$10/(1+'W Assumptions'!$D$39)*INDEX('W Assumptions'!$D$12:$F$12,1,D180)*INDEX('W Assumptions'!$D$33:$F$33,1,D180)</f>
        <v>20114.6301369863</v>
      </c>
      <c r="K180" s="81" t="n">
        <f aca="false">'W Sites'!$L$10*F180*IF(((YEAR(C180)-YEAR('W Sites'!$F$10))*12+MONTH(C180)-MONTH('W Sites'!$F$10))=0,'W Assumptions'!$D$62,IF(((YEAR(C180)-YEAR('W Sites'!$F$10))*12+MONTH(C180)-MONTH('W Sites'!$F$10))=1,'W Assumptions'!$D$63,1))*INDEX('W Assumptions'!$D$7:$F$7,1,D180)*INDEX('W Assumptions'!$D$32:$F$32,1,D180)</f>
        <v>19800</v>
      </c>
      <c r="L180" s="81" t="n">
        <f aca="false">SUM(I180:K180)</f>
        <v>203346</v>
      </c>
      <c r="M180" s="81" t="n">
        <f aca="false">'W Site Costs'!$I$10*F180*INDEX('W Assumptions'!$D$34:$F$34,1,D180)*INDEX('W Assumptions'!$D$22:$F$22,1,D180)</f>
        <v>50427.3</v>
      </c>
      <c r="N180" s="81" t="n">
        <f aca="false">'W Site Costs'!$J$10*F180*INDEX('W Assumptions'!$D$35:$F$35,1,D180)*INDEX('W Assumptions'!$D$22:$F$22,1,D180)</f>
        <v>31200</v>
      </c>
      <c r="O180" s="81" t="n">
        <f aca="false">L180*'W Site Costs'!$K$10</f>
        <v>0</v>
      </c>
      <c r="P180" s="81" t="n">
        <f aca="false">SUM('W Site Costs'!$L$10:$Q$10)*F180*INDEX('W Assumptions'!$D$35:$F$35,1,D180)*INDEX('W Assumptions'!$D$22:$F$22,1,D180)</f>
        <v>19760</v>
      </c>
      <c r="Q180" s="81" t="n">
        <f aca="false">L180*'W Site Costs'!$R$10*INDEX('W Assumptions'!$D$17:$F$17,1,D180)</f>
        <v>16267.68</v>
      </c>
      <c r="R180" s="112" t="n">
        <f aca="false">L180*'W Sites'!$M$10</f>
        <v>0</v>
      </c>
      <c r="S180" s="81" t="n">
        <f aca="false">SUM(M180:R180)</f>
        <v>117654.98</v>
      </c>
      <c r="T180" s="81" t="n">
        <f aca="false">L180-S180</f>
        <v>85691.0200000001</v>
      </c>
      <c r="U180" s="81" t="n">
        <f aca="false">IF(C180='W Budget &amp; Owners'!$I$10,'W Budget &amp; Owners'!$F$10*'W Sites'!$G$10,0)</f>
        <v>0</v>
      </c>
      <c r="V180" s="81" t="n">
        <f aca="false">'W Sites'!$G$10*'W Budget &amp; Owners'!$E$10*INDEX('W Assumptions'!$D$27:$F$27,1,D180)*(IF(C180='W Budget &amp; Owners'!$I$10,'W Assumptions'!$D$65,0)+IF(C180=DATE(YEAR('W Sites'!$F$10),MONTH('W Sites'!$F$10),1),1-'W Assumptions'!$D$65,0))+'W Sites'!$G$10*'W Budget &amp; Owners'!$E$10*IF(C180=DATE(2027,9,1),'W Assumptions'!$D$67,IF(C180=DATE(2028,9,1),'W Assumptions'!$D$69,0))</f>
        <v>0</v>
      </c>
      <c r="W180" s="81" t="n">
        <f aca="false">IF(((YEAR(C180)-YEAR('W Sites'!$F$10))*12+MONTH(C180)-MONTH('W Sites'!$F$10))&lt;'W Budget &amp; Owners'!$H$10,'W Budget &amp; Owners'!$E$10/'W Budget &amp; Owners'!$H$10*F180,0)+IF(C180&gt;=DATE(2027,9,1),'W Budget &amp; Owners'!$E$10*'W Assumptions'!$D$67/'W Budget &amp; Owners'!$H$10*F180,0)+IF(C180&gt;=DATE(2028,9,1),'W Budget &amp; Owners'!$E$10*'W Assumptions'!$D$69/'W Budget &amp; Owners'!$H$10*F180,0)</f>
        <v>12750</v>
      </c>
      <c r="X180" s="81" t="n">
        <f aca="false">IF(C180='W Budget &amp; Owners'!$I$10,'W Budget &amp; Owners'!$G$10*'W Sites'!$G$10,0)</f>
        <v>0</v>
      </c>
      <c r="Y180" s="112" t="n">
        <f aca="false">IF(SUM($G$176:$G$185)=0,0,'W Fees &amp; KPI'!$Q$23*G180/SUM($G$176:$G$185))</f>
        <v>2724.29468115942</v>
      </c>
      <c r="Z180" s="119" t="n">
        <f aca="false">IF(SUM($G$176:$G$185)=0,0,SUM('W Fees &amp; KPI'!$J$23,'W Fees &amp; KPI'!$M$23)*G180/SUM($G$176:$G$185))</f>
        <v>4611.25</v>
      </c>
      <c r="AA180" s="117" t="n">
        <f aca="false">T180-U180-Z180-Y180</f>
        <v>78355.4753188406</v>
      </c>
      <c r="AB180" s="119" t="n">
        <f aca="false">IF('W Fees &amp; KPI'!$D$23=0,0,T180-U180-Z180)</f>
        <v>81079.7700000001</v>
      </c>
    </row>
    <row r="181" customFormat="false" ht="21" hidden="false" customHeight="true" outlineLevel="0" collapsed="false">
      <c r="C181" s="144" t="n">
        <f aca="false">46784</f>
        <v>46784</v>
      </c>
      <c r="D181" s="81" t="n">
        <f aca="false">2</f>
        <v>2</v>
      </c>
      <c r="E181" s="81" t="str">
        <f aca="false">'W Sites'!C11</f>
        <v>S06</v>
      </c>
      <c r="F181" s="145" t="n">
        <f aca="false">'W Sites'!$G$11*MAX(0,EOMONTH(C181,0)-MAX(C181,'W Sites'!$F$11)+1)/DAY(EOMONTH(C181,0))</f>
        <v>1</v>
      </c>
      <c r="G181" s="145" t="n">
        <f aca="false">'W Sites'!$G$11*MAX(0,EOMONTH(C181,0)-MAX(C181,'W Sites'!$F$11,'W Assumptions'!$D$58)+1)/DAY(EOMONTH(C181,0))</f>
        <v>1</v>
      </c>
      <c r="H181" s="81" t="n">
        <f aca="false">'W Sites'!$H$11*F181*'W Sites'!$I$11*IF(((YEAR(C181)-YEAR('W Sites'!$F$11))*12+MONTH(C181)-MONTH('W Sites'!$F$11))=0,'W Assumptions'!$D$62,IF(((YEAR(C181)-YEAR('W Sites'!$F$11))*12+MONTH(C181)-MONTH('W Sites'!$F$11))=1,'W Assumptions'!$D$63,1))*INDEX('W Assumptions'!$D$7:$F$7,1,D181)*INDEX('W Assumptions'!$D$32:$F$32,1,D181)*INDEX('W Assumptions'!$D$80:$D$91,MONTH(C181),1)/AVERAGE('W Assumptions'!$D$80:$D$91)</f>
        <v>858</v>
      </c>
      <c r="I181" s="81" t="n">
        <f aca="false">H181*'W Sites'!$J$11/(1+'W Assumptions'!$D$39)*INDEX('W Assumptions'!$D$12:$F$12,1,D181)*INDEX('W Assumptions'!$D$33:$F$33,1,D181)</f>
        <v>46108.1739130435</v>
      </c>
      <c r="J181" s="81" t="n">
        <f aca="false">H181*'W Sites'!$K$11/(1+'W Assumptions'!$D$39)*INDEX('W Assumptions'!$D$12:$F$12,1,D181)*INDEX('W Assumptions'!$D$33:$F$33,1,D181)</f>
        <v>2305.40869565217</v>
      </c>
      <c r="K181" s="81" t="n">
        <f aca="false">'W Sites'!$L$11*F181*IF(((YEAR(C181)-YEAR('W Sites'!$F$11))*12+MONTH(C181)-MONTH('W Sites'!$F$11))=0,'W Assumptions'!$D$62,IF(((YEAR(C181)-YEAR('W Sites'!$F$11))*12+MONTH(C181)-MONTH('W Sites'!$F$11))=1,'W Assumptions'!$D$63,1))*INDEX('W Assumptions'!$D$7:$F$7,1,D181)*INDEX('W Assumptions'!$D$32:$F$32,1,D181)</f>
        <v>22000</v>
      </c>
      <c r="L181" s="81" t="n">
        <f aca="false">SUM(I181:K181)</f>
        <v>70413.5826086957</v>
      </c>
      <c r="M181" s="81" t="n">
        <f aca="false">'W Site Costs'!$I$11*F181*INDEX('W Assumptions'!$D$34:$F$34,1,D181)*INDEX('W Assumptions'!$D$22:$F$22,1,D181)</f>
        <v>25027.8</v>
      </c>
      <c r="N181" s="81" t="n">
        <f aca="false">'W Site Costs'!$J$11*F181*INDEX('W Assumptions'!$D$35:$F$35,1,D181)*INDEX('W Assumptions'!$D$22:$F$22,1,D181)</f>
        <v>5200</v>
      </c>
      <c r="O181" s="81" t="n">
        <f aca="false">L181*'W Site Costs'!$K$11</f>
        <v>0</v>
      </c>
      <c r="P181" s="81" t="n">
        <f aca="false">SUM('W Site Costs'!$L$11:$Q$11)*F181*INDEX('W Assumptions'!$D$35:$F$35,1,D181)*INDEX('W Assumptions'!$D$22:$F$22,1,D181)</f>
        <v>8320</v>
      </c>
      <c r="Q181" s="81" t="n">
        <f aca="false">L181*'W Site Costs'!$R$11*INDEX('W Assumptions'!$D$17:$F$17,1,D181)</f>
        <v>7041.35826086957</v>
      </c>
      <c r="R181" s="112" t="n">
        <f aca="false">L181*'W Sites'!$M$11</f>
        <v>0</v>
      </c>
      <c r="S181" s="81" t="n">
        <f aca="false">SUM(M181:R181)</f>
        <v>45589.1582608696</v>
      </c>
      <c r="T181" s="81" t="n">
        <f aca="false">L181-S181</f>
        <v>24824.4243478261</v>
      </c>
      <c r="U181" s="81" t="n">
        <f aca="false">IF(C181='W Budget &amp; Owners'!$I$11,'W Budget &amp; Owners'!$F$11*'W Sites'!$G$11,0)</f>
        <v>0</v>
      </c>
      <c r="V181" s="81" t="n">
        <f aca="false">'W Sites'!$G$11*'W Budget &amp; Owners'!$E$11*INDEX('W Assumptions'!$D$27:$F$27,1,D181)*(IF(C181='W Budget &amp; Owners'!$I$11,'W Assumptions'!$D$65,0)+IF(C181=DATE(YEAR('W Sites'!$F$11),MONTH('W Sites'!$F$11),1),1-'W Assumptions'!$D$65,0))+'W Sites'!$G$11*'W Budget &amp; Owners'!$E$11*IF(C181=DATE(2027,9,1),'W Assumptions'!$D$67,IF(C181=DATE(2028,9,1),'W Assumptions'!$D$69,0))</f>
        <v>0</v>
      </c>
      <c r="W181" s="81" t="n">
        <f aca="false">IF(((YEAR(C181)-YEAR('W Sites'!$F$11))*12+MONTH(C181)-MONTH('W Sites'!$F$11))&lt;'W Budget &amp; Owners'!$H$11,'W Budget &amp; Owners'!$E$11/'W Budget &amp; Owners'!$H$11*F181,0)+IF(C181&gt;=DATE(2027,9,1),'W Budget &amp; Owners'!$E$11*'W Assumptions'!$D$67/'W Budget &amp; Owners'!$H$11*F181,0)+IF(C181&gt;=DATE(2028,9,1),'W Budget &amp; Owners'!$E$11*'W Assumptions'!$D$69/'W Budget &amp; Owners'!$H$11*F181,0)</f>
        <v>2550</v>
      </c>
      <c r="X181" s="81" t="n">
        <f aca="false">IF(C181='W Budget &amp; Owners'!$I$11,'W Budget &amp; Owners'!$G$11*'W Sites'!$G$11,0)</f>
        <v>0</v>
      </c>
      <c r="Y181" s="112" t="n">
        <f aca="false">IF(SUM($G$176:$G$185)=0,0,'W Fees &amp; KPI'!$Q$23*G181/SUM($G$176:$G$185))</f>
        <v>2724.29468115942</v>
      </c>
      <c r="Z181" s="119" t="n">
        <f aca="false">IF(SUM($G$176:$G$185)=0,0,SUM('W Fees &amp; KPI'!$J$23,'W Fees &amp; KPI'!$M$23)*G181/SUM($G$176:$G$185))</f>
        <v>4611.25</v>
      </c>
      <c r="AA181" s="117" t="n">
        <f aca="false">T181-U181-Z181-Y181</f>
        <v>17488.8796666667</v>
      </c>
      <c r="AB181" s="119" t="n">
        <f aca="false">IF('W Fees &amp; KPI'!$D$23=0,0,T181-U181-Z181)</f>
        <v>20213.1743478261</v>
      </c>
    </row>
    <row r="182" customFormat="false" ht="21" hidden="false" customHeight="true" outlineLevel="0" collapsed="false">
      <c r="C182" s="144" t="n">
        <f aca="false">46784</f>
        <v>46784</v>
      </c>
      <c r="D182" s="81" t="n">
        <f aca="false">2</f>
        <v>2</v>
      </c>
      <c r="E182" s="81" t="str">
        <f aca="false">'W Sites'!C12</f>
        <v>S07</v>
      </c>
      <c r="F182" s="145" t="n">
        <f aca="false">'W Sites'!$G$12*MAX(0,EOMONTH(C182,0)-MAX(C182,'W Sites'!$F$12)+1)/DAY(EOMONTH(C182,0))</f>
        <v>1</v>
      </c>
      <c r="G182" s="145" t="n">
        <f aca="false">'W Sites'!$G$12*MAX(0,EOMONTH(C182,0)-MAX(C182,'W Sites'!$F$12,'W Assumptions'!$D$58)+1)/DAY(EOMONTH(C182,0))</f>
        <v>1</v>
      </c>
      <c r="H182" s="81" t="n">
        <f aca="false">'W Sites'!$H$12*F182*'W Sites'!$I$12*IF(((YEAR(C182)-YEAR('W Sites'!$F$12))*12+MONTH(C182)-MONTH('W Sites'!$F$12))=0,'W Assumptions'!$D$62,IF(((YEAR(C182)-YEAR('W Sites'!$F$12))*12+MONTH(C182)-MONTH('W Sites'!$F$12))=1,'W Assumptions'!$D$63,1))*INDEX('W Assumptions'!$D$7:$F$7,1,D182)*INDEX('W Assumptions'!$D$32:$F$32,1,D182)*INDEX('W Assumptions'!$D$80:$D$91,MONTH(C182),1)/AVERAGE('W Assumptions'!$D$80:$D$91)</f>
        <v>1001</v>
      </c>
      <c r="I182" s="81" t="n">
        <f aca="false">H182*'W Sites'!$J$12/(1+'W Assumptions'!$D$39)*INDEX('W Assumptions'!$D$12:$F$12,1,D182)*INDEX('W Assumptions'!$D$33:$F$33,1,D182)</f>
        <v>53792.8695652174</v>
      </c>
      <c r="J182" s="81" t="n">
        <f aca="false">H182*'W Sites'!$K$12/(1+'W Assumptions'!$D$39)*INDEX('W Assumptions'!$D$12:$F$12,1,D182)*INDEX('W Assumptions'!$D$33:$F$33,1,D182)</f>
        <v>2689.64347826087</v>
      </c>
      <c r="K182" s="81" t="n">
        <f aca="false">'W Sites'!$L$12*F182*IF(((YEAR(C182)-YEAR('W Sites'!$F$12))*12+MONTH(C182)-MONTH('W Sites'!$F$12))=0,'W Assumptions'!$D$62,IF(((YEAR(C182)-YEAR('W Sites'!$F$12))*12+MONTH(C182)-MONTH('W Sites'!$F$12))=1,'W Assumptions'!$D$63,1))*INDEX('W Assumptions'!$D$7:$F$7,1,D182)*INDEX('W Assumptions'!$D$32:$F$32,1,D182)</f>
        <v>19800</v>
      </c>
      <c r="L182" s="81" t="n">
        <f aca="false">SUM(I182:K182)</f>
        <v>76282.5130434783</v>
      </c>
      <c r="M182" s="81" t="n">
        <f aca="false">'W Site Costs'!$I$12*F182*INDEX('W Assumptions'!$D$34:$F$34,1,D182)*INDEX('W Assumptions'!$D$22:$F$22,1,D182)</f>
        <v>25027.8</v>
      </c>
      <c r="N182" s="81" t="n">
        <f aca="false">'W Site Costs'!$J$12*F182*INDEX('W Assumptions'!$D$35:$F$35,1,D182)*INDEX('W Assumptions'!$D$22:$F$22,1,D182)</f>
        <v>8320</v>
      </c>
      <c r="O182" s="81" t="n">
        <f aca="false">L182*'W Site Costs'!$K$12</f>
        <v>0</v>
      </c>
      <c r="P182" s="81" t="n">
        <f aca="false">SUM('W Site Costs'!$L$12:$Q$12)*F182*INDEX('W Assumptions'!$D$35:$F$35,1,D182)*INDEX('W Assumptions'!$D$22:$F$22,1,D182)</f>
        <v>8840</v>
      </c>
      <c r="Q182" s="81" t="n">
        <f aca="false">L182*'W Site Costs'!$R$12*INDEX('W Assumptions'!$D$17:$F$17,1,D182)</f>
        <v>7628.25130434783</v>
      </c>
      <c r="R182" s="112" t="n">
        <f aca="false">L182*'W Sites'!$M$12</f>
        <v>0</v>
      </c>
      <c r="S182" s="81" t="n">
        <f aca="false">SUM(M182:R182)</f>
        <v>49816.0513043478</v>
      </c>
      <c r="T182" s="81" t="n">
        <f aca="false">L182-S182</f>
        <v>26466.4617391305</v>
      </c>
      <c r="U182" s="81" t="n">
        <f aca="false">IF(C182='W Budget &amp; Owners'!$I$12,'W Budget &amp; Owners'!$F$12*'W Sites'!$G$12,0)</f>
        <v>0</v>
      </c>
      <c r="V182" s="81" t="n">
        <f aca="false">'W Sites'!$G$12*'W Budget &amp; Owners'!$E$12*INDEX('W Assumptions'!$D$27:$F$27,1,D182)*(IF(C182='W Budget &amp; Owners'!$I$12,'W Assumptions'!$D$65,0)+IF(C182=DATE(YEAR('W Sites'!$F$12),MONTH('W Sites'!$F$12),1),1-'W Assumptions'!$D$65,0))+'W Sites'!$G$12*'W Budget &amp; Owners'!$E$12*IF(C182=DATE(2027,9,1),'W Assumptions'!$D$67,IF(C182=DATE(2028,9,1),'W Assumptions'!$D$69,0))</f>
        <v>0</v>
      </c>
      <c r="W182" s="81" t="n">
        <f aca="false">IF(((YEAR(C182)-YEAR('W Sites'!$F$12))*12+MONTH(C182)-MONTH('W Sites'!$F$12))&lt;'W Budget &amp; Owners'!$H$12,'W Budget &amp; Owners'!$E$12/'W Budget &amp; Owners'!$H$12*F182,0)+IF(C182&gt;=DATE(2027,9,1),'W Budget &amp; Owners'!$E$12*'W Assumptions'!$D$67/'W Budget &amp; Owners'!$H$12*F182,0)+IF(C182&gt;=DATE(2028,9,1),'W Budget &amp; Owners'!$E$12*'W Assumptions'!$D$69/'W Budget &amp; Owners'!$H$12*F182,0)</f>
        <v>7650</v>
      </c>
      <c r="X182" s="81" t="n">
        <f aca="false">IF(C182='W Budget &amp; Owners'!$I$12,'W Budget &amp; Owners'!$G$12*'W Sites'!$G$12,0)</f>
        <v>0</v>
      </c>
      <c r="Y182" s="112" t="n">
        <f aca="false">IF(SUM($G$176:$G$185)=0,0,'W Fees &amp; KPI'!$Q$23*G182/SUM($G$176:$G$185))</f>
        <v>2724.29468115942</v>
      </c>
      <c r="Z182" s="119" t="n">
        <f aca="false">IF(SUM($G$176:$G$185)=0,0,SUM('W Fees &amp; KPI'!$J$23,'W Fees &amp; KPI'!$M$23)*G182/SUM($G$176:$G$185))</f>
        <v>4611.25</v>
      </c>
      <c r="AA182" s="117" t="n">
        <f aca="false">T182-U182-Z182-Y182</f>
        <v>19130.917057971</v>
      </c>
      <c r="AB182" s="119" t="n">
        <f aca="false">IF('W Fees &amp; KPI'!$D$23=0,0,T182-U182-Z182)</f>
        <v>21855.2117391305</v>
      </c>
    </row>
    <row r="183" customFormat="false" ht="21" hidden="false" customHeight="true" outlineLevel="0" collapsed="false">
      <c r="C183" s="144" t="n">
        <f aca="false">46784</f>
        <v>46784</v>
      </c>
      <c r="D183" s="81" t="n">
        <f aca="false">2</f>
        <v>2</v>
      </c>
      <c r="E183" s="81" t="str">
        <f aca="false">'W Sites'!C13</f>
        <v>S08</v>
      </c>
      <c r="F183" s="145" t="n">
        <f aca="false">'W Sites'!$G$13*MAX(0,EOMONTH(C183,0)-MAX(C183,'W Sites'!$F$13)+1)/DAY(EOMONTH(C183,0))</f>
        <v>1</v>
      </c>
      <c r="G183" s="145" t="n">
        <f aca="false">'W Sites'!$G$13*MAX(0,EOMONTH(C183,0)-MAX(C183,'W Sites'!$F$13,'W Assumptions'!$D$58)+1)/DAY(EOMONTH(C183,0))</f>
        <v>1</v>
      </c>
      <c r="H183" s="81" t="n">
        <f aca="false">'W Sites'!$H$13*F183*'W Sites'!$I$13*IF(((YEAR(C183)-YEAR('W Sites'!$F$13))*12+MONTH(C183)-MONTH('W Sites'!$F$13))=0,'W Assumptions'!$D$62,IF(((YEAR(C183)-YEAR('W Sites'!$F$13))*12+MONTH(C183)-MONTH('W Sites'!$F$13))=1,'W Assumptions'!$D$63,1))*INDEX('W Assumptions'!$D$7:$F$7,1,D183)*INDEX('W Assumptions'!$D$32:$F$32,1,D183)*INDEX('W Assumptions'!$D$80:$D$91,MONTH(C183),1)/AVERAGE('W Assumptions'!$D$80:$D$91)</f>
        <v>4290</v>
      </c>
      <c r="I183" s="81" t="n">
        <f aca="false">H183*'W Sites'!$J$13/(1+'W Assumptions'!$D$39)*INDEX('W Assumptions'!$D$12:$F$12,1,D183)*INDEX('W Assumptions'!$D$33:$F$33,1,D183)</f>
        <v>153693.913043478</v>
      </c>
      <c r="J183" s="81" t="n">
        <f aca="false">H183*'W Sites'!$K$13/(1+'W Assumptions'!$D$39)*INDEX('W Assumptions'!$D$12:$F$12,1,D183)*INDEX('W Assumptions'!$D$33:$F$33,1,D183)</f>
        <v>19211.7391304348</v>
      </c>
      <c r="K183" s="81" t="n">
        <f aca="false">'W Sites'!$L$13*F183*IF(((YEAR(C183)-YEAR('W Sites'!$F$13))*12+MONTH(C183)-MONTH('W Sites'!$F$13))=0,'W Assumptions'!$D$62,IF(((YEAR(C183)-YEAR('W Sites'!$F$13))*12+MONTH(C183)-MONTH('W Sites'!$F$13))=1,'W Assumptions'!$D$63,1))*INDEX('W Assumptions'!$D$7:$F$7,1,D183)*INDEX('W Assumptions'!$D$32:$F$32,1,D183)</f>
        <v>16500</v>
      </c>
      <c r="L183" s="81" t="n">
        <f aca="false">SUM(I183:K183)</f>
        <v>189405.652173913</v>
      </c>
      <c r="M183" s="81" t="n">
        <f aca="false">'W Site Costs'!$I$13*F183*INDEX('W Assumptions'!$D$34:$F$34,1,D183)*INDEX('W Assumptions'!$D$22:$F$22,1,D183)</f>
        <v>56002.8</v>
      </c>
      <c r="N183" s="81" t="n">
        <f aca="false">'W Site Costs'!$J$13*F183*INDEX('W Assumptions'!$D$35:$F$35,1,D183)*INDEX('W Assumptions'!$D$22:$F$22,1,D183)</f>
        <v>0</v>
      </c>
      <c r="O183" s="81" t="n">
        <f aca="false">L183*'W Site Costs'!$K$13</f>
        <v>18940.5652173913</v>
      </c>
      <c r="P183" s="81" t="n">
        <f aca="false">SUM('W Site Costs'!$L$13:$Q$13)*F183*INDEX('W Assumptions'!$D$35:$F$35,1,D183)*INDEX('W Assumptions'!$D$22:$F$22,1,D183)</f>
        <v>26520</v>
      </c>
      <c r="Q183" s="81" t="n">
        <f aca="false">L183*'W Site Costs'!$R$13*INDEX('W Assumptions'!$D$17:$F$17,1,D183)</f>
        <v>15152.452173913</v>
      </c>
      <c r="R183" s="112" t="n">
        <f aca="false">L183*'W Sites'!$M$13</f>
        <v>0</v>
      </c>
      <c r="S183" s="81" t="n">
        <f aca="false">SUM(M183:R183)</f>
        <v>116615.817391304</v>
      </c>
      <c r="T183" s="81" t="n">
        <f aca="false">L183-S183</f>
        <v>72789.8347826087</v>
      </c>
      <c r="U183" s="81" t="n">
        <f aca="false">IF(C183='W Budget &amp; Owners'!$I$13,'W Budget &amp; Owners'!$F$13*'W Sites'!$G$13,0)</f>
        <v>0</v>
      </c>
      <c r="V183" s="81" t="n">
        <f aca="false">'W Sites'!$G$13*'W Budget &amp; Owners'!$E$13*INDEX('W Assumptions'!$D$27:$F$27,1,D183)*(IF(C183='W Budget &amp; Owners'!$I$13,'W Assumptions'!$D$65,0)+IF(C183=DATE(YEAR('W Sites'!$F$13),MONTH('W Sites'!$F$13),1),1-'W Assumptions'!$D$65,0))+'W Sites'!$G$13*'W Budget &amp; Owners'!$E$13*IF(C183=DATE(2027,9,1),'W Assumptions'!$D$67,IF(C183=DATE(2028,9,1),'W Assumptions'!$D$69,0))</f>
        <v>0</v>
      </c>
      <c r="W183" s="81" t="n">
        <f aca="false">IF(((YEAR(C183)-YEAR('W Sites'!$F$13))*12+MONTH(C183)-MONTH('W Sites'!$F$13))&lt;'W Budget &amp; Owners'!$H$13,'W Budget &amp; Owners'!$E$13/'W Budget &amp; Owners'!$H$13*F183,0)+IF(C183&gt;=DATE(2027,9,1),'W Budget &amp; Owners'!$E$13*'W Assumptions'!$D$67/'W Budget &amp; Owners'!$H$13*F183,0)+IF(C183&gt;=DATE(2028,9,1),'W Budget &amp; Owners'!$E$13*'W Assumptions'!$D$69/'W Budget &amp; Owners'!$H$13*F183,0)</f>
        <v>20400</v>
      </c>
      <c r="X183" s="81" t="n">
        <f aca="false">IF(C183='W Budget &amp; Owners'!$I$13,'W Budget &amp; Owners'!$G$13*'W Sites'!$G$13,0)</f>
        <v>0</v>
      </c>
      <c r="Y183" s="112" t="n">
        <f aca="false">IF(SUM($G$176:$G$185)=0,0,'W Fees &amp; KPI'!$Q$23*G183/SUM($G$176:$G$185))</f>
        <v>2724.29468115942</v>
      </c>
      <c r="Z183" s="119" t="n">
        <f aca="false">IF(SUM($G$176:$G$185)=0,0,SUM('W Fees &amp; KPI'!$J$23,'W Fees &amp; KPI'!$M$23)*G183/SUM($G$176:$G$185))</f>
        <v>4611.25</v>
      </c>
      <c r="AA183" s="117" t="n">
        <f aca="false">T183-U183-Z183-Y183</f>
        <v>65454.2901014493</v>
      </c>
      <c r="AB183" s="119" t="n">
        <f aca="false">IF('W Fees &amp; KPI'!$D$23=0,0,T183-U183-Z183)</f>
        <v>68178.5847826087</v>
      </c>
    </row>
    <row r="184" customFormat="false" ht="21" hidden="false" customHeight="true" outlineLevel="0" collapsed="false">
      <c r="C184" s="144" t="n">
        <f aca="false">46784</f>
        <v>46784</v>
      </c>
      <c r="D184" s="81" t="n">
        <f aca="false">2</f>
        <v>2</v>
      </c>
      <c r="E184" s="81" t="str">
        <f aca="false">'W Sites'!C14</f>
        <v>S09</v>
      </c>
      <c r="F184" s="145" t="n">
        <f aca="false">'W Sites'!$G$14*MAX(0,EOMONTH(C184,0)-MAX(C184,'W Sites'!$F$14)+1)/DAY(EOMONTH(C184,0))</f>
        <v>0</v>
      </c>
      <c r="G184" s="145" t="n">
        <f aca="false">'W Sites'!$G$14*MAX(0,EOMONTH(C184,0)-MAX(C184,'W Sites'!$F$14,'W Assumptions'!$D$58)+1)/DAY(EOMONTH(C184,0))</f>
        <v>0</v>
      </c>
      <c r="H184" s="81" t="n">
        <f aca="false">'W Sites'!$H$14*F184*'W Sites'!$I$14*IF(((YEAR(C184)-YEAR('W Sites'!$F$14))*12+MONTH(C184)-MONTH('W Sites'!$F$14))=0,'W Assumptions'!$D$62,IF(((YEAR(C184)-YEAR('W Sites'!$F$14))*12+MONTH(C184)-MONTH('W Sites'!$F$14))=1,'W Assumptions'!$D$63,1))*INDEX('W Assumptions'!$D$7:$F$7,1,D184)*INDEX('W Assumptions'!$D$32:$F$32,1,D184)*INDEX('W Assumptions'!$D$80:$D$91,MONTH(C184),1)/AVERAGE('W Assumptions'!$D$80:$D$91)</f>
        <v>0</v>
      </c>
      <c r="I184" s="81" t="n">
        <f aca="false">H184*'W Sites'!$J$14/(1+'W Assumptions'!$D$39)*INDEX('W Assumptions'!$D$12:$F$12,1,D184)*INDEX('W Assumptions'!$D$33:$F$33,1,D184)</f>
        <v>0</v>
      </c>
      <c r="J184" s="81" t="n">
        <f aca="false">H184*'W Sites'!$K$14/(1+'W Assumptions'!$D$39)*INDEX('W Assumptions'!$D$12:$F$12,1,D184)*INDEX('W Assumptions'!$D$33:$F$33,1,D184)</f>
        <v>0</v>
      </c>
      <c r="K184" s="81" t="n">
        <f aca="false">'W Sites'!$L$14*F184*IF(((YEAR(C184)-YEAR('W Sites'!$F$14))*12+MONTH(C184)-MONTH('W Sites'!$F$14))=0,'W Assumptions'!$D$62,IF(((YEAR(C184)-YEAR('W Sites'!$F$14))*12+MONTH(C184)-MONTH('W Sites'!$F$14))=1,'W Assumptions'!$D$63,1))*INDEX('W Assumptions'!$D$7:$F$7,1,D184)*INDEX('W Assumptions'!$D$32:$F$32,1,D184)</f>
        <v>0</v>
      </c>
      <c r="L184" s="81" t="n">
        <f aca="false">SUM(I184:K184)</f>
        <v>0</v>
      </c>
      <c r="M184" s="81" t="n">
        <f aca="false">'W Site Costs'!$I$14*F184*INDEX('W Assumptions'!$D$34:$F$34,1,D184)*INDEX('W Assumptions'!$D$22:$F$22,1,D184)</f>
        <v>0</v>
      </c>
      <c r="N184" s="81" t="n">
        <f aca="false">'W Site Costs'!$J$14*F184*INDEX('W Assumptions'!$D$35:$F$35,1,D184)*INDEX('W Assumptions'!$D$22:$F$22,1,D184)</f>
        <v>0</v>
      </c>
      <c r="O184" s="81" t="n">
        <f aca="false">L184*'W Site Costs'!$K$14</f>
        <v>0</v>
      </c>
      <c r="P184" s="81" t="n">
        <f aca="false">SUM('W Site Costs'!$L$14:$Q$14)*F184*INDEX('W Assumptions'!$D$35:$F$35,1,D184)*INDEX('W Assumptions'!$D$22:$F$22,1,D184)</f>
        <v>0</v>
      </c>
      <c r="Q184" s="81" t="n">
        <f aca="false">L184*'W Site Costs'!$R$14*INDEX('W Assumptions'!$D$17:$F$17,1,D184)</f>
        <v>0</v>
      </c>
      <c r="R184" s="112" t="n">
        <f aca="false">L184*'W Sites'!$M$14</f>
        <v>0</v>
      </c>
      <c r="S184" s="81" t="n">
        <f aca="false">SUM(M184:R184)</f>
        <v>0</v>
      </c>
      <c r="T184" s="81" t="n">
        <f aca="false">L184-S184</f>
        <v>0</v>
      </c>
      <c r="U184" s="81" t="n">
        <f aca="false">IF(C184='W Budget &amp; Owners'!$I$14,'W Budget &amp; Owners'!$F$14*'W Sites'!$G$14,0)</f>
        <v>0</v>
      </c>
      <c r="V184" s="81" t="n">
        <f aca="false">'W Sites'!$G$14*'W Budget &amp; Owners'!$E$14*INDEX('W Assumptions'!$D$27:$F$27,1,D184)*(IF(C184='W Budget &amp; Owners'!$I$14,'W Assumptions'!$D$65,0)+IF(C184=DATE(YEAR('W Sites'!$F$14),MONTH('W Sites'!$F$14),1),1-'W Assumptions'!$D$65,0))+'W Sites'!$G$14*'W Budget &amp; Owners'!$E$14*IF(C184=DATE(2027,9,1),'W Assumptions'!$D$67,IF(C184=DATE(2028,9,1),'W Assumptions'!$D$69,0))</f>
        <v>0</v>
      </c>
      <c r="W184" s="81" t="n">
        <f aca="false">IF(((YEAR(C184)-YEAR('W Sites'!$F$14))*12+MONTH(C184)-MONTH('W Sites'!$F$14))&lt;'W Budget &amp; Owners'!$H$14,'W Budget &amp; Owners'!$E$14/'W Budget &amp; Owners'!$H$14*F184,0)+IF(C184&gt;=DATE(2027,9,1),'W Budget &amp; Owners'!$E$14*'W Assumptions'!$D$67/'W Budget &amp; Owners'!$H$14*F184,0)+IF(C184&gt;=DATE(2028,9,1),'W Budget &amp; Owners'!$E$14*'W Assumptions'!$D$69/'W Budget &amp; Owners'!$H$14*F184,0)</f>
        <v>0</v>
      </c>
      <c r="X184" s="81" t="n">
        <f aca="false">IF(C184='W Budget &amp; Owners'!$I$14,'W Budget &amp; Owners'!$G$14*'W Sites'!$G$14,0)</f>
        <v>0</v>
      </c>
      <c r="Y184" s="112" t="n">
        <f aca="false">IF(SUM($G$176:$G$185)=0,0,'W Fees &amp; KPI'!$Q$23*G184/SUM($G$176:$G$185))</f>
        <v>0</v>
      </c>
      <c r="Z184" s="119" t="n">
        <f aca="false">IF(SUM($G$176:$G$185)=0,0,SUM('W Fees &amp; KPI'!$J$23,'W Fees &amp; KPI'!$M$23)*G184/SUM($G$176:$G$185))</f>
        <v>0</v>
      </c>
      <c r="AA184" s="117" t="n">
        <f aca="false">T184-U184-Z184-Y184</f>
        <v>0</v>
      </c>
      <c r="AB184" s="119" t="n">
        <f aca="false">IF('W Fees &amp; KPI'!$D$23=0,0,T184-U184-Z184)</f>
        <v>0</v>
      </c>
    </row>
    <row r="185" customFormat="false" ht="21" hidden="false" customHeight="true" outlineLevel="0" collapsed="false">
      <c r="C185" s="144" t="n">
        <f aca="false">46784</f>
        <v>46784</v>
      </c>
      <c r="D185" s="81" t="n">
        <f aca="false">2</f>
        <v>2</v>
      </c>
      <c r="E185" s="81" t="str">
        <f aca="false">'W Sites'!C15</f>
        <v>S10</v>
      </c>
      <c r="F185" s="145" t="n">
        <f aca="false">'W Sites'!$G$15*MAX(0,EOMONTH(C185,0)-MAX(C185,'W Sites'!$F$15)+1)/DAY(EOMONTH(C185,0))</f>
        <v>0</v>
      </c>
      <c r="G185" s="145" t="n">
        <f aca="false">'W Sites'!$G$15*MAX(0,EOMONTH(C185,0)-MAX(C185,'W Sites'!$F$15,'W Assumptions'!$D$58)+1)/DAY(EOMONTH(C185,0))</f>
        <v>0</v>
      </c>
      <c r="H185" s="81" t="n">
        <f aca="false">'W Sites'!$H$15*F185*'W Sites'!$I$15*IF(((YEAR(C185)-YEAR('W Sites'!$F$15))*12+MONTH(C185)-MONTH('W Sites'!$F$15))=0,'W Assumptions'!$D$62,IF(((YEAR(C185)-YEAR('W Sites'!$F$15))*12+MONTH(C185)-MONTH('W Sites'!$F$15))=1,'W Assumptions'!$D$63,1))*INDEX('W Assumptions'!$D$7:$F$7,1,D185)*INDEX('W Assumptions'!$D$32:$F$32,1,D185)*INDEX('W Assumptions'!$D$80:$D$91,MONTH(C185),1)/AVERAGE('W Assumptions'!$D$80:$D$91)</f>
        <v>0</v>
      </c>
      <c r="I185" s="81" t="n">
        <f aca="false">H185*'W Sites'!$J$15/(1+'W Assumptions'!$D$39)*INDEX('W Assumptions'!$D$12:$F$12,1,D185)*INDEX('W Assumptions'!$D$33:$F$33,1,D185)</f>
        <v>0</v>
      </c>
      <c r="J185" s="81" t="n">
        <f aca="false">H185*'W Sites'!$K$15/(1+'W Assumptions'!$D$39)*INDEX('W Assumptions'!$D$12:$F$12,1,D185)*INDEX('W Assumptions'!$D$33:$F$33,1,D185)</f>
        <v>0</v>
      </c>
      <c r="K185" s="81" t="n">
        <f aca="false">'W Sites'!$L$15*F185*IF(((YEAR(C185)-YEAR('W Sites'!$F$15))*12+MONTH(C185)-MONTH('W Sites'!$F$15))=0,'W Assumptions'!$D$62,IF(((YEAR(C185)-YEAR('W Sites'!$F$15))*12+MONTH(C185)-MONTH('W Sites'!$F$15))=1,'W Assumptions'!$D$63,1))*INDEX('W Assumptions'!$D$7:$F$7,1,D185)*INDEX('W Assumptions'!$D$32:$F$32,1,D185)</f>
        <v>0</v>
      </c>
      <c r="L185" s="81" t="n">
        <f aca="false">SUM(I185:K185)</f>
        <v>0</v>
      </c>
      <c r="M185" s="81" t="n">
        <f aca="false">'W Site Costs'!$I$15*F185*INDEX('W Assumptions'!$D$34:$F$34,1,D185)*INDEX('W Assumptions'!$D$22:$F$22,1,D185)</f>
        <v>0</v>
      </c>
      <c r="N185" s="81" t="n">
        <f aca="false">'W Site Costs'!$J$15*F185*INDEX('W Assumptions'!$D$35:$F$35,1,D185)*INDEX('W Assumptions'!$D$22:$F$22,1,D185)</f>
        <v>0</v>
      </c>
      <c r="O185" s="81" t="n">
        <f aca="false">L185*'W Site Costs'!$K$15</f>
        <v>0</v>
      </c>
      <c r="P185" s="81" t="n">
        <f aca="false">SUM('W Site Costs'!$L$15:$Q$15)*F185*INDEX('W Assumptions'!$D$35:$F$35,1,D185)*INDEX('W Assumptions'!$D$22:$F$22,1,D185)</f>
        <v>0</v>
      </c>
      <c r="Q185" s="81" t="n">
        <f aca="false">L185*'W Site Costs'!$R$15*INDEX('W Assumptions'!$D$17:$F$17,1,D185)</f>
        <v>0</v>
      </c>
      <c r="R185" s="112" t="n">
        <f aca="false">L185*'W Sites'!$M$15</f>
        <v>0</v>
      </c>
      <c r="S185" s="81" t="n">
        <f aca="false">SUM(M185:R185)</f>
        <v>0</v>
      </c>
      <c r="T185" s="81" t="n">
        <f aca="false">L185-S185</f>
        <v>0</v>
      </c>
      <c r="U185" s="81" t="n">
        <f aca="false">IF(C185='W Budget &amp; Owners'!$I$15,'W Budget &amp; Owners'!$F$15*'W Sites'!$G$15,0)</f>
        <v>0</v>
      </c>
      <c r="V185" s="81" t="n">
        <f aca="false">'W Sites'!$G$15*'W Budget &amp; Owners'!$E$15*INDEX('W Assumptions'!$D$27:$F$27,1,D185)*(IF(C185='W Budget &amp; Owners'!$I$15,'W Assumptions'!$D$65,0)+IF(C185=DATE(YEAR('W Sites'!$F$15),MONTH('W Sites'!$F$15),1),1-'W Assumptions'!$D$65,0))+'W Sites'!$G$15*'W Budget &amp; Owners'!$E$15*IF(C185=DATE(2027,9,1),'W Assumptions'!$D$67,IF(C185=DATE(2028,9,1),'W Assumptions'!$D$69,0))</f>
        <v>0</v>
      </c>
      <c r="W185" s="81" t="n">
        <f aca="false">IF(((YEAR(C185)-YEAR('W Sites'!$F$15))*12+MONTH(C185)-MONTH('W Sites'!$F$15))&lt;'W Budget &amp; Owners'!$H$15,'W Budget &amp; Owners'!$E$15/'W Budget &amp; Owners'!$H$15*F185,0)+IF(C185&gt;=DATE(2027,9,1),'W Budget &amp; Owners'!$E$15*'W Assumptions'!$D$67/'W Budget &amp; Owners'!$H$15*F185,0)+IF(C185&gt;=DATE(2028,9,1),'W Budget &amp; Owners'!$E$15*'W Assumptions'!$D$69/'W Budget &amp; Owners'!$H$15*F185,0)</f>
        <v>0</v>
      </c>
      <c r="X185" s="81" t="n">
        <f aca="false">IF(C185='W Budget &amp; Owners'!$I$15,'W Budget &amp; Owners'!$G$15*'W Sites'!$G$15,0)</f>
        <v>0</v>
      </c>
      <c r="Y185" s="112" t="n">
        <f aca="false">IF(SUM($G$176:$G$185)=0,0,'W Fees &amp; KPI'!$Q$23*G185/SUM($G$176:$G$185))</f>
        <v>0</v>
      </c>
      <c r="Z185" s="119" t="n">
        <f aca="false">IF(SUM($G$176:$G$185)=0,0,SUM('W Fees &amp; KPI'!$J$23,'W Fees &amp; KPI'!$M$23)*G185/SUM($G$176:$G$185))</f>
        <v>0</v>
      </c>
      <c r="AA185" s="117" t="n">
        <f aca="false">T185-U185-Z185-Y185</f>
        <v>0</v>
      </c>
      <c r="AB185" s="119" t="n">
        <f aca="false">IF('W Fees &amp; KPI'!$D$23=0,0,T185-U185-Z185)</f>
        <v>0</v>
      </c>
    </row>
    <row r="186" customFormat="false" ht="21" hidden="false" customHeight="true" outlineLevel="0" collapsed="false">
      <c r="C186" s="144" t="n">
        <f aca="false">46813</f>
        <v>46813</v>
      </c>
      <c r="D186" s="81" t="n">
        <f aca="false">2</f>
        <v>2</v>
      </c>
      <c r="E186" s="81" t="str">
        <f aca="false">'W Sites'!C6</f>
        <v>S01</v>
      </c>
      <c r="F186" s="145" t="n">
        <f aca="false">'W Sites'!$G$6*MAX(0,EOMONTH(C186,0)-MAX(C186,'W Sites'!$F$6)+1)/DAY(EOMONTH(C186,0))</f>
        <v>1</v>
      </c>
      <c r="G186" s="145" t="n">
        <f aca="false">'W Sites'!$G$6*MAX(0,EOMONTH(C186,0)-MAX(C186,'W Sites'!$F$6,'W Assumptions'!$D$58)+1)/DAY(EOMONTH(C186,0))</f>
        <v>1</v>
      </c>
      <c r="H186" s="81" t="n">
        <f aca="false">'W Sites'!$D$45*INDEX('W Sites'!$E$65:$E$76,MONTH(C186),1)/SUM('W Sites'!$E$65:$E$76)*F186*(1+'W Sites'!$D$56)^(D186-1)*INDEX('W Assumptions'!$D$7:$F$7,1,D186)</f>
        <v>6211.6</v>
      </c>
      <c r="I186" s="81" t="n">
        <f aca="false">H186*'W Sites'!$D$46/(1+'W Sites'!$D$54*'W Assumptions'!$D$39)*INDEX('W Assumptions'!$D$12:$F$12,1,D186)</f>
        <v>341638</v>
      </c>
      <c r="J186" s="81" t="n">
        <f aca="false">H186*SUM('W Sites'!$D$47:$D$49)/(1+'W Sites'!$D$54*'W Assumptions'!$D$39)*INDEX('W Assumptions'!$D$12:$F$12,1,D186)</f>
        <v>186348</v>
      </c>
      <c r="K186" s="81" t="n">
        <f aca="false">SUM('W Sites'!$D$50:$D$52)/12*F186*(1+'W Sites'!$D$56)^(D186-1)*INDEX('W Assumptions'!$D$7:$F$7,1,D186)*INDEX('W Assumptions'!$D$12:$F$12,1,D186)/(1+'W Sites'!$D$54*'W Assumptions'!$D$39)</f>
        <v>35333.3333333333</v>
      </c>
      <c r="L186" s="81" t="n">
        <f aca="false">SUM(I186:K186)</f>
        <v>563319.333333333</v>
      </c>
      <c r="M186" s="81" t="n">
        <f aca="false">('W Site Costs'!$I$6+INDEX('W Sites'!$F$65:$F$76,MONTH(C186),1)*'W Site Costs'!$V$6)*F186*(1+'W Sites'!$D$58)^(D186-1)*INDEX('W Assumptions'!$D$22:$F$22,1,D186)</f>
        <v>169520</v>
      </c>
      <c r="N186" s="81" t="n">
        <f aca="false">'W Site Costs'!$J$6*F186*INDEX('W Assumptions'!$D$35:$F$35,1,D186)*INDEX('W Assumptions'!$D$22:$F$22,1,D186)</f>
        <v>15600</v>
      </c>
      <c r="O186" s="81" t="n">
        <f aca="false">L186*'W Site Costs'!$K$6</f>
        <v>0</v>
      </c>
      <c r="P186" s="81" t="n">
        <f aca="false">(SUM('W Site Costs'!$L$6:$Q$6)+INDEX('W Sites'!$F$65:$F$76,MONTH(C186),1)*'W Site Costs'!$W$6)*F186*(1+'W Sites'!$D$58)^(D186-1)*INDEX('W Assumptions'!$D$22:$F$22,1,D186)</f>
        <v>111280</v>
      </c>
      <c r="Q186" s="81" t="n">
        <f aca="false">('W Site Costs'!$X$6+INDEX('W Sites'!$F$65:$F$76,MONTH(C186),1)*'W Site Costs'!$Y$6)*F186*(1+'W Sites'!$D$58)^(D186-1)*INDEX('W Assumptions'!$D$17:$F$17,1,D186)</f>
        <v>26000</v>
      </c>
      <c r="R186" s="112" t="n">
        <f aca="false">L186*'W Sites'!$M$6</f>
        <v>0</v>
      </c>
      <c r="S186" s="81" t="n">
        <f aca="false">SUM(M186:R186)</f>
        <v>322400</v>
      </c>
      <c r="T186" s="81" t="n">
        <f aca="false">L186-S186</f>
        <v>240919.333333333</v>
      </c>
      <c r="U186" s="81" t="n">
        <f aca="false">IF(C186='W Budget &amp; Owners'!$I$6,'W Budget &amp; Owners'!$F$6*'W Sites'!$G$6,0)</f>
        <v>0</v>
      </c>
      <c r="V186" s="81" t="n">
        <f aca="false">'W Sites'!$G$6*'W Budget &amp; Owners'!$E$6*INDEX('W Assumptions'!$D$27:$F$27,1,D186)*(IF(C186='W Budget &amp; Owners'!$I$6,'W Assumptions'!$D$65,0)+IF(C186=DATE(YEAR('W Sites'!$F$6),MONTH('W Sites'!$F$6),1),1-'W Assumptions'!$D$65,0))+'W Sites'!$G$6*'W Budget &amp; Owners'!$E$6*IF(C186=DATE(2027,9,1),'W Assumptions'!$D$67,IF(C186=DATE(2028,9,1),'W Assumptions'!$D$69,0))</f>
        <v>0</v>
      </c>
      <c r="W186" s="81" t="n">
        <f aca="false">IF(((YEAR(C186)-YEAR('W Sites'!$F$6))*12+MONTH(C186)-MONTH('W Sites'!$F$6))&lt;'W Budget &amp; Owners'!$H$6,'W Budget &amp; Owners'!$E$6/'W Budget &amp; Owners'!$H$6*F186,0)+IF(C186&gt;=DATE(2027,9,1),'W Budget &amp; Owners'!$E$6*'W Assumptions'!$D$67/'W Budget &amp; Owners'!$H$6*F186,0)+IF(C186&gt;=DATE(2028,9,1),'W Budget &amp; Owners'!$E$6*'W Assumptions'!$D$69/'W Budget &amp; Owners'!$H$6*F186,0)</f>
        <v>5950</v>
      </c>
      <c r="X186" s="81" t="n">
        <f aca="false">IF(C186='W Budget &amp; Owners'!$I$6,'W Budget &amp; Owners'!$G$6*'W Sites'!$G$6,0)</f>
        <v>0</v>
      </c>
      <c r="Y186" s="112" t="n">
        <f aca="false">IF(SUM($G$186:$G$195)=0,0,'W Fees &amp; KPI'!$Q$24*G186/SUM($G$186:$G$195))</f>
        <v>4250.67675344203</v>
      </c>
      <c r="Z186" s="119" t="n">
        <f aca="false">IF(SUM($G$186:$G$195)=0,0,SUM('W Fees &amp; KPI'!$J$24,'W Fees &amp; KPI'!$M$24)*G186/SUM($G$186:$G$195))</f>
        <v>4611.25</v>
      </c>
      <c r="AA186" s="117" t="n">
        <f aca="false">T186-U186-Z186-Y186</f>
        <v>232057.406579891</v>
      </c>
      <c r="AB186" s="119" t="n">
        <f aca="false">IF('W Fees &amp; KPI'!$D$24=0,0,T186-U186-Z186)</f>
        <v>236308.083333333</v>
      </c>
    </row>
    <row r="187" customFormat="false" ht="21" hidden="false" customHeight="true" outlineLevel="0" collapsed="false">
      <c r="C187" s="144" t="n">
        <f aca="false">46813</f>
        <v>46813</v>
      </c>
      <c r="D187" s="81" t="n">
        <f aca="false">2</f>
        <v>2</v>
      </c>
      <c r="E187" s="81" t="str">
        <f aca="false">'W Sites'!C7</f>
        <v>S02</v>
      </c>
      <c r="F187" s="145" t="n">
        <f aca="false">'W Sites'!$G$7*MAX(0,EOMONTH(C187,0)-MAX(C187,'W Sites'!$F$7)+1)/DAY(EOMONTH(C187,0))</f>
        <v>1</v>
      </c>
      <c r="G187" s="145" t="n">
        <f aca="false">'W Sites'!$G$7*MAX(0,EOMONTH(C187,0)-MAX(C187,'W Sites'!$F$7,'W Assumptions'!$D$58)+1)/DAY(EOMONTH(C187,0))</f>
        <v>1</v>
      </c>
      <c r="H187" s="81" t="n">
        <f aca="false">'W Sites'!$H$7*F187*'W Sites'!$I$7*IF(((YEAR(C187)-YEAR('W Sites'!$F$7))*12+MONTH(C187)-MONTH('W Sites'!$F$7))=0,'W Assumptions'!$D$62,IF(((YEAR(C187)-YEAR('W Sites'!$F$7))*12+MONTH(C187)-MONTH('W Sites'!$F$7))=1,'W Assumptions'!$D$63,1))*INDEX('W Assumptions'!$D$7:$F$7,1,D187)*INDEX('W Assumptions'!$D$32:$F$32,1,D187)*INDEX('W Assumptions'!$D$80:$D$91,MONTH(C187),1)/AVERAGE('W Assumptions'!$D$80:$D$91)</f>
        <v>2541</v>
      </c>
      <c r="I187" s="81" t="n">
        <f aca="false">H187*'W Sites'!$J$7/(1+'W Assumptions'!$D$39)*INDEX('W Assumptions'!$D$12:$F$12,1,D187)*INDEX('W Assumptions'!$D$33:$F$33,1,D187)</f>
        <v>79654.8260869565</v>
      </c>
      <c r="J187" s="81" t="n">
        <f aca="false">H187*'W Sites'!$K$7/(1+'W Assumptions'!$D$39)*INDEX('W Assumptions'!$D$12:$F$12,1,D187)*INDEX('W Assumptions'!$D$33:$F$33,1,D187)</f>
        <v>6827.55652173913</v>
      </c>
      <c r="K187" s="81" t="n">
        <f aca="false">'W Sites'!$L$7*F187*IF(((YEAR(C187)-YEAR('W Sites'!$F$7))*12+MONTH(C187)-MONTH('W Sites'!$F$7))=0,'W Assumptions'!$D$62,IF(((YEAR(C187)-YEAR('W Sites'!$F$7))*12+MONTH(C187)-MONTH('W Sites'!$F$7))=1,'W Assumptions'!$D$63,1))*INDEX('W Assumptions'!$D$7:$F$7,1,D187)*INDEX('W Assumptions'!$D$32:$F$32,1,D187)</f>
        <v>5500</v>
      </c>
      <c r="L187" s="81" t="n">
        <f aca="false">SUM(I187:K187)</f>
        <v>91982.3826086957</v>
      </c>
      <c r="M187" s="81" t="n">
        <f aca="false">'W Site Costs'!$I$7*F187*INDEX('W Assumptions'!$D$34:$F$34,1,D187)*INDEX('W Assumptions'!$D$22:$F$22,1,D187)</f>
        <v>34072.5</v>
      </c>
      <c r="N187" s="81" t="n">
        <f aca="false">'W Site Costs'!$J$7*F187*INDEX('W Assumptions'!$D$35:$F$35,1,D187)*INDEX('W Assumptions'!$D$22:$F$22,1,D187)</f>
        <v>0</v>
      </c>
      <c r="O187" s="81" t="n">
        <f aca="false">L187*'W Site Costs'!$K$7</f>
        <v>13797.3573913044</v>
      </c>
      <c r="P187" s="81" t="n">
        <f aca="false">SUM('W Site Costs'!$L$7:$Q$7)*F187*INDEX('W Assumptions'!$D$35:$F$35,1,D187)*INDEX('W Assumptions'!$D$22:$F$22,1,D187)</f>
        <v>12168</v>
      </c>
      <c r="Q187" s="81" t="n">
        <f aca="false">L187*'W Site Costs'!$R$7*INDEX('W Assumptions'!$D$17:$F$17,1,D187)</f>
        <v>5518.94295652174</v>
      </c>
      <c r="R187" s="112" t="n">
        <f aca="false">L187*'W Sites'!$M$7</f>
        <v>0</v>
      </c>
      <c r="S187" s="81" t="n">
        <f aca="false">SUM(M187:R187)</f>
        <v>65556.8003478261</v>
      </c>
      <c r="T187" s="81" t="n">
        <f aca="false">L187-S187</f>
        <v>26425.5822608696</v>
      </c>
      <c r="U187" s="81" t="n">
        <f aca="false">IF(C187='W Budget &amp; Owners'!$I$7,'W Budget &amp; Owners'!$F$7*'W Sites'!$G$7,0)</f>
        <v>0</v>
      </c>
      <c r="V187" s="81" t="n">
        <f aca="false">'W Sites'!$G$7*'W Budget &amp; Owners'!$E$7*INDEX('W Assumptions'!$D$27:$F$27,1,D187)*(IF(C187='W Budget &amp; Owners'!$I$7,'W Assumptions'!$D$65,0)+IF(C187=DATE(YEAR('W Sites'!$F$7),MONTH('W Sites'!$F$7),1),1-'W Assumptions'!$D$65,0))+'W Sites'!$G$7*'W Budget &amp; Owners'!$E$7*IF(C187=DATE(2027,9,1),'W Assumptions'!$D$67,IF(C187=DATE(2028,9,1),'W Assumptions'!$D$69,0))</f>
        <v>0</v>
      </c>
      <c r="W187" s="81" t="n">
        <f aca="false">IF(((YEAR(C187)-YEAR('W Sites'!$F$7))*12+MONTH(C187)-MONTH('W Sites'!$F$7))&lt;'W Budget &amp; Owners'!$H$7,'W Budget &amp; Owners'!$E$7/'W Budget &amp; Owners'!$H$7*F187,0)+IF(C187&gt;=DATE(2027,9,1),'W Budget &amp; Owners'!$E$7*'W Assumptions'!$D$67/'W Budget &amp; Owners'!$H$7*F187,0)+IF(C187&gt;=DATE(2028,9,1),'W Budget &amp; Owners'!$E$7*'W Assumptions'!$D$69/'W Budget &amp; Owners'!$H$7*F187,0)</f>
        <v>1360</v>
      </c>
      <c r="X187" s="81" t="n">
        <f aca="false">IF(C187='W Budget &amp; Owners'!$I$7,'W Budget &amp; Owners'!$G$7*'W Sites'!$G$7,0)</f>
        <v>0</v>
      </c>
      <c r="Y187" s="112" t="n">
        <f aca="false">IF(SUM($G$186:$G$195)=0,0,'W Fees &amp; KPI'!$Q$24*G187/SUM($G$186:$G$195))</f>
        <v>4250.67675344203</v>
      </c>
      <c r="Z187" s="119" t="n">
        <f aca="false">IF(SUM($G$186:$G$195)=0,0,SUM('W Fees &amp; KPI'!$J$24,'W Fees &amp; KPI'!$M$24)*G187/SUM($G$186:$G$195))</f>
        <v>4611.25</v>
      </c>
      <c r="AA187" s="117" t="n">
        <f aca="false">T187-U187-Z187-Y187</f>
        <v>17563.6555074275</v>
      </c>
      <c r="AB187" s="119" t="n">
        <f aca="false">IF('W Fees &amp; KPI'!$D$24=0,0,T187-U187-Z187)</f>
        <v>21814.3322608696</v>
      </c>
    </row>
    <row r="188" customFormat="false" ht="21" hidden="false" customHeight="true" outlineLevel="0" collapsed="false">
      <c r="C188" s="144" t="n">
        <f aca="false">46813</f>
        <v>46813</v>
      </c>
      <c r="D188" s="81" t="n">
        <f aca="false">2</f>
        <v>2</v>
      </c>
      <c r="E188" s="81" t="str">
        <f aca="false">'W Sites'!C8</f>
        <v>S03</v>
      </c>
      <c r="F188" s="145" t="n">
        <f aca="false">'W Sites'!$G$8*MAX(0,EOMONTH(C188,0)-MAX(C188,'W Sites'!$F$8)+1)/DAY(EOMONTH(C188,0))</f>
        <v>1</v>
      </c>
      <c r="G188" s="145" t="n">
        <f aca="false">'W Sites'!$G$8*MAX(0,EOMONTH(C188,0)-MAX(C188,'W Sites'!$F$8,'W Assumptions'!$D$58)+1)/DAY(EOMONTH(C188,0))</f>
        <v>1</v>
      </c>
      <c r="H188" s="81" t="n">
        <f aca="false">'W Sites'!$H$8*F188*'W Sites'!$I$8*IF(((YEAR(C188)-YEAR('W Sites'!$F$8))*12+MONTH(C188)-MONTH('W Sites'!$F$8))=0,'W Assumptions'!$D$62,IF(((YEAR(C188)-YEAR('W Sites'!$F$8))*12+MONTH(C188)-MONTH('W Sites'!$F$8))=1,'W Assumptions'!$D$63,1))*INDEX('W Assumptions'!$D$7:$F$7,1,D188)*INDEX('W Assumptions'!$D$32:$F$32,1,D188)*INDEX('W Assumptions'!$D$80:$D$91,MONTH(C188),1)/AVERAGE('W Assumptions'!$D$80:$D$91)</f>
        <v>3431.09589041096</v>
      </c>
      <c r="I188" s="81" t="n">
        <f aca="false">H188*'W Sites'!$J$8/(1+'W Assumptions'!$D$39)*INDEX('W Assumptions'!$D$12:$F$12,1,D188)*INDEX('W Assumptions'!$D$33:$F$33,1,D188)</f>
        <v>199749.452054795</v>
      </c>
      <c r="J188" s="81" t="n">
        <f aca="false">H188*'W Sites'!$K$8/(1+'W Assumptions'!$D$39)*INDEX('W Assumptions'!$D$12:$F$12,1,D188)*INDEX('W Assumptions'!$D$33:$F$33,1,D188)</f>
        <v>24584.5479452055</v>
      </c>
      <c r="K188" s="81" t="n">
        <f aca="false">'W Sites'!$L$8*F188*IF(((YEAR(C188)-YEAR('W Sites'!$F$8))*12+MONTH(C188)-MONTH('W Sites'!$F$8))=0,'W Assumptions'!$D$62,IF(((YEAR(C188)-YEAR('W Sites'!$F$8))*12+MONTH(C188)-MONTH('W Sites'!$F$8))=1,'W Assumptions'!$D$63,1))*INDEX('W Assumptions'!$D$7:$F$7,1,D188)*INDEX('W Assumptions'!$D$32:$F$32,1,D188)</f>
        <v>22000</v>
      </c>
      <c r="L188" s="81" t="n">
        <f aca="false">SUM(I188:K188)</f>
        <v>246334</v>
      </c>
      <c r="M188" s="81" t="n">
        <f aca="false">'W Site Costs'!$I$8*F188*INDEX('W Assumptions'!$D$34:$F$34,1,D188)*INDEX('W Assumptions'!$D$22:$F$22,1,D188)</f>
        <v>50427.3</v>
      </c>
      <c r="N188" s="81" t="n">
        <f aca="false">'W Site Costs'!$J$8*F188*INDEX('W Assumptions'!$D$35:$F$35,1,D188)*INDEX('W Assumptions'!$D$22:$F$22,1,D188)</f>
        <v>36400</v>
      </c>
      <c r="O188" s="81" t="n">
        <f aca="false">L188*'W Site Costs'!$K$8</f>
        <v>0</v>
      </c>
      <c r="P188" s="81" t="n">
        <f aca="false">SUM('W Site Costs'!$L$8:$Q$8)*F188*INDEX('W Assumptions'!$D$35:$F$35,1,D188)*INDEX('W Assumptions'!$D$22:$F$22,1,D188)</f>
        <v>20280</v>
      </c>
      <c r="Q188" s="81" t="n">
        <f aca="false">L188*'W Site Costs'!$R$8*INDEX('W Assumptions'!$D$17:$F$17,1,D188)</f>
        <v>19706.72</v>
      </c>
      <c r="R188" s="112" t="n">
        <f aca="false">L188*'W Sites'!$M$8</f>
        <v>0</v>
      </c>
      <c r="S188" s="81" t="n">
        <f aca="false">SUM(M188:R188)</f>
        <v>126814.02</v>
      </c>
      <c r="T188" s="81" t="n">
        <f aca="false">L188-S188</f>
        <v>119519.98</v>
      </c>
      <c r="U188" s="81" t="n">
        <f aca="false">IF(C188='W Budget &amp; Owners'!$I$8,'W Budget &amp; Owners'!$F$8*'W Sites'!$G$8,0)</f>
        <v>0</v>
      </c>
      <c r="V188" s="81" t="n">
        <f aca="false">'W Sites'!$G$8*'W Budget &amp; Owners'!$E$8*INDEX('W Assumptions'!$D$27:$F$27,1,D188)*(IF(C188='W Budget &amp; Owners'!$I$8,'W Assumptions'!$D$65,0)+IF(C188=DATE(YEAR('W Sites'!$F$8),MONTH('W Sites'!$F$8),1),1-'W Assumptions'!$D$65,0))+'W Sites'!$G$8*'W Budget &amp; Owners'!$E$8*IF(C188=DATE(2027,9,1),'W Assumptions'!$D$67,IF(C188=DATE(2028,9,1),'W Assumptions'!$D$69,0))</f>
        <v>0</v>
      </c>
      <c r="W188" s="81" t="n">
        <f aca="false">IF(((YEAR(C188)-YEAR('W Sites'!$F$8))*12+MONTH(C188)-MONTH('W Sites'!$F$8))&lt;'W Budget &amp; Owners'!$H$8,'W Budget &amp; Owners'!$E$8/'W Budget &amp; Owners'!$H$8*F188,0)+IF(C188&gt;=DATE(2027,9,1),'W Budget &amp; Owners'!$E$8*'W Assumptions'!$D$67/'W Budget &amp; Owners'!$H$8*F188,0)+IF(C188&gt;=DATE(2028,9,1),'W Budget &amp; Owners'!$E$8*'W Assumptions'!$D$69/'W Budget &amp; Owners'!$H$8*F188,0)</f>
        <v>10200</v>
      </c>
      <c r="X188" s="81" t="n">
        <f aca="false">IF(C188='W Budget &amp; Owners'!$I$8,'W Budget &amp; Owners'!$G$8*'W Sites'!$G$8,0)</f>
        <v>0</v>
      </c>
      <c r="Y188" s="112" t="n">
        <f aca="false">IF(SUM($G$186:$G$195)=0,0,'W Fees &amp; KPI'!$Q$24*G188/SUM($G$186:$G$195))</f>
        <v>4250.67675344203</v>
      </c>
      <c r="Z188" s="119" t="n">
        <f aca="false">IF(SUM($G$186:$G$195)=0,0,SUM('W Fees &amp; KPI'!$J$24,'W Fees &amp; KPI'!$M$24)*G188/SUM($G$186:$G$195))</f>
        <v>4611.25</v>
      </c>
      <c r="AA188" s="117" t="n">
        <f aca="false">T188-U188-Z188-Y188</f>
        <v>110658.053246558</v>
      </c>
      <c r="AB188" s="119" t="n">
        <f aca="false">IF('W Fees &amp; KPI'!$D$24=0,0,T188-U188-Z188)</f>
        <v>114908.73</v>
      </c>
    </row>
    <row r="189" customFormat="false" ht="21" hidden="false" customHeight="true" outlineLevel="0" collapsed="false">
      <c r="C189" s="144" t="n">
        <f aca="false">46813</f>
        <v>46813</v>
      </c>
      <c r="D189" s="81" t="n">
        <f aca="false">2</f>
        <v>2</v>
      </c>
      <c r="E189" s="81" t="str">
        <f aca="false">'W Sites'!C9</f>
        <v>S04</v>
      </c>
      <c r="F189" s="145" t="n">
        <f aca="false">'W Sites'!$G$9*MAX(0,EOMONTH(C189,0)-MAX(C189,'W Sites'!$F$9)+1)/DAY(EOMONTH(C189,0))</f>
        <v>1</v>
      </c>
      <c r="G189" s="145" t="n">
        <f aca="false">'W Sites'!$G$9*MAX(0,EOMONTH(C189,0)-MAX(C189,'W Sites'!$F$9,'W Assumptions'!$D$58)+1)/DAY(EOMONTH(C189,0))</f>
        <v>1</v>
      </c>
      <c r="H189" s="81" t="n">
        <f aca="false">'W Sites'!$H$9*F189*'W Sites'!$I$9*IF(((YEAR(C189)-YEAR('W Sites'!$F$9))*12+MONTH(C189)-MONTH('W Sites'!$F$9))=0,'W Assumptions'!$D$62,IF(((YEAR(C189)-YEAR('W Sites'!$F$9))*12+MONTH(C189)-MONTH('W Sites'!$F$9))=1,'W Assumptions'!$D$63,1))*INDEX('W Assumptions'!$D$7:$F$7,1,D189)*INDEX('W Assumptions'!$D$32:$F$32,1,D189)*INDEX('W Assumptions'!$D$80:$D$91,MONTH(C189),1)/AVERAGE('W Assumptions'!$D$80:$D$91)</f>
        <v>2415.79861111111</v>
      </c>
      <c r="I189" s="81" t="n">
        <f aca="false">H189*'W Sites'!$J$9/(1+'W Assumptions'!$D$39)*INDEX('W Assumptions'!$D$12:$F$12,1,D189)*INDEX('W Assumptions'!$D$33:$F$33,1,D189)</f>
        <v>140641.493055556</v>
      </c>
      <c r="J189" s="81" t="n">
        <f aca="false">H189*'W Sites'!$K$9/(1+'W Assumptions'!$D$39)*INDEX('W Assumptions'!$D$12:$F$12,1,D189)*INDEX('W Assumptions'!$D$33:$F$33,1,D189)</f>
        <v>15146.0069444444</v>
      </c>
      <c r="K189" s="81" t="n">
        <f aca="false">'W Sites'!$L$9*F189*IF(((YEAR(C189)-YEAR('W Sites'!$F$9))*12+MONTH(C189)-MONTH('W Sites'!$F$9))=0,'W Assumptions'!$D$62,IF(((YEAR(C189)-YEAR('W Sites'!$F$9))*12+MONTH(C189)-MONTH('W Sites'!$F$9))=1,'W Assumptions'!$D$63,1))*INDEX('W Assumptions'!$D$7:$F$7,1,D189)*INDEX('W Assumptions'!$D$32:$F$32,1,D189)</f>
        <v>16500</v>
      </c>
      <c r="L189" s="81" t="n">
        <f aca="false">SUM(I189:K189)</f>
        <v>172287.5</v>
      </c>
      <c r="M189" s="81" t="n">
        <f aca="false">'W Site Costs'!$I$9*F189*INDEX('W Assumptions'!$D$34:$F$34,1,D189)*INDEX('W Assumptions'!$D$22:$F$22,1,D189)</f>
        <v>39648</v>
      </c>
      <c r="N189" s="81" t="n">
        <f aca="false">'W Site Costs'!$J$9*F189*INDEX('W Assumptions'!$D$35:$F$35,1,D189)*INDEX('W Assumptions'!$D$22:$F$22,1,D189)</f>
        <v>22880</v>
      </c>
      <c r="O189" s="81" t="n">
        <f aca="false">L189*'W Site Costs'!$K$9</f>
        <v>0</v>
      </c>
      <c r="P189" s="81" t="n">
        <f aca="false">SUM('W Site Costs'!$L$9:$Q$9)*F189*INDEX('W Assumptions'!$D$35:$F$35,1,D189)*INDEX('W Assumptions'!$D$22:$F$22,1,D189)</f>
        <v>16120</v>
      </c>
      <c r="Q189" s="81" t="n">
        <f aca="false">L189*'W Site Costs'!$R$9*INDEX('W Assumptions'!$D$17:$F$17,1,D189)</f>
        <v>13783</v>
      </c>
      <c r="R189" s="112" t="n">
        <f aca="false">L189*'W Sites'!$M$9</f>
        <v>0</v>
      </c>
      <c r="S189" s="81" t="n">
        <f aca="false">SUM(M189:R189)</f>
        <v>92431</v>
      </c>
      <c r="T189" s="81" t="n">
        <f aca="false">L189-S189</f>
        <v>79856.5000000001</v>
      </c>
      <c r="U189" s="81" t="n">
        <f aca="false">IF(C189='W Budget &amp; Owners'!$I$9,'W Budget &amp; Owners'!$F$9*'W Sites'!$G$9,0)</f>
        <v>0</v>
      </c>
      <c r="V189" s="81" t="n">
        <f aca="false">'W Sites'!$G$9*'W Budget &amp; Owners'!$E$9*INDEX('W Assumptions'!$D$27:$F$27,1,D189)*(IF(C189='W Budget &amp; Owners'!$I$9,'W Assumptions'!$D$65,0)+IF(C189=DATE(YEAR('W Sites'!$F$9),MONTH('W Sites'!$F$9),1),1-'W Assumptions'!$D$65,0))+'W Sites'!$G$9*'W Budget &amp; Owners'!$E$9*IF(C189=DATE(2027,9,1),'W Assumptions'!$D$67,IF(C189=DATE(2028,9,1),'W Assumptions'!$D$69,0))</f>
        <v>0</v>
      </c>
      <c r="W189" s="81" t="n">
        <f aca="false">IF(((YEAR(C189)-YEAR('W Sites'!$F$9))*12+MONTH(C189)-MONTH('W Sites'!$F$9))&lt;'W Budget &amp; Owners'!$H$9,'W Budget &amp; Owners'!$E$9/'W Budget &amp; Owners'!$H$9*F189,0)+IF(C189&gt;=DATE(2027,9,1),'W Budget &amp; Owners'!$E$9*'W Assumptions'!$D$67/'W Budget &amp; Owners'!$H$9*F189,0)+IF(C189&gt;=DATE(2028,9,1),'W Budget &amp; Owners'!$E$9*'W Assumptions'!$D$69/'W Budget &amp; Owners'!$H$9*F189,0)</f>
        <v>8500</v>
      </c>
      <c r="X189" s="81" t="n">
        <f aca="false">IF(C189='W Budget &amp; Owners'!$I$9,'W Budget &amp; Owners'!$G$9*'W Sites'!$G$9,0)</f>
        <v>0</v>
      </c>
      <c r="Y189" s="112" t="n">
        <f aca="false">IF(SUM($G$186:$G$195)=0,0,'W Fees &amp; KPI'!$Q$24*G189/SUM($G$186:$G$195))</f>
        <v>4250.67675344203</v>
      </c>
      <c r="Z189" s="119" t="n">
        <f aca="false">IF(SUM($G$186:$G$195)=0,0,SUM('W Fees &amp; KPI'!$J$24,'W Fees &amp; KPI'!$M$24)*G189/SUM($G$186:$G$195))</f>
        <v>4611.25</v>
      </c>
      <c r="AA189" s="117" t="n">
        <f aca="false">T189-U189-Z189-Y189</f>
        <v>70994.573246558</v>
      </c>
      <c r="AB189" s="119" t="n">
        <f aca="false">IF('W Fees &amp; KPI'!$D$24=0,0,T189-U189-Z189)</f>
        <v>75245.2500000001</v>
      </c>
    </row>
    <row r="190" customFormat="false" ht="21" hidden="false" customHeight="true" outlineLevel="0" collapsed="false">
      <c r="C190" s="144" t="n">
        <f aca="false">46813</f>
        <v>46813</v>
      </c>
      <c r="D190" s="81" t="n">
        <f aca="false">2</f>
        <v>2</v>
      </c>
      <c r="E190" s="81" t="str">
        <f aca="false">'W Sites'!C10</f>
        <v>S05</v>
      </c>
      <c r="F190" s="145" t="n">
        <f aca="false">'W Sites'!$G$10*MAX(0,EOMONTH(C190,0)-MAX(C190,'W Sites'!$F$10)+1)/DAY(EOMONTH(C190,0))</f>
        <v>1</v>
      </c>
      <c r="G190" s="145" t="n">
        <f aca="false">'W Sites'!$G$10*MAX(0,EOMONTH(C190,0)-MAX(C190,'W Sites'!$F$10,'W Assumptions'!$D$58)+1)/DAY(EOMONTH(C190,0))</f>
        <v>1</v>
      </c>
      <c r="H190" s="81" t="n">
        <f aca="false">'W Sites'!$H$10*F190*'W Sites'!$I$10*IF(((YEAR(C190)-YEAR('W Sites'!$F$10))*12+MONTH(C190)-MONTH('W Sites'!$F$10))=0,'W Assumptions'!$D$62,IF(((YEAR(C190)-YEAR('W Sites'!$F$10))*12+MONTH(C190)-MONTH('W Sites'!$F$10))=1,'W Assumptions'!$D$63,1))*INDEX('W Assumptions'!$D$7:$F$7,1,D190)*INDEX('W Assumptions'!$D$32:$F$32,1,D190)*INDEX('W Assumptions'!$D$80:$D$91,MONTH(C190),1)/AVERAGE('W Assumptions'!$D$80:$D$91)</f>
        <v>3087.98630136986</v>
      </c>
      <c r="I190" s="81" t="n">
        <f aca="false">H190*'W Sites'!$J$10/(1+'W Assumptions'!$D$39)*INDEX('W Assumptions'!$D$12:$F$12,1,D190)*INDEX('W Assumptions'!$D$33:$F$33,1,D190)</f>
        <v>179774.506849315</v>
      </c>
      <c r="J190" s="81" t="n">
        <f aca="false">H190*'W Sites'!$K$10/(1+'W Assumptions'!$D$39)*INDEX('W Assumptions'!$D$12:$F$12,1,D190)*INDEX('W Assumptions'!$D$33:$F$33,1,D190)</f>
        <v>22126.0931506849</v>
      </c>
      <c r="K190" s="81" t="n">
        <f aca="false">'W Sites'!$L$10*F190*IF(((YEAR(C190)-YEAR('W Sites'!$F$10))*12+MONTH(C190)-MONTH('W Sites'!$F$10))=0,'W Assumptions'!$D$62,IF(((YEAR(C190)-YEAR('W Sites'!$F$10))*12+MONTH(C190)-MONTH('W Sites'!$F$10))=1,'W Assumptions'!$D$63,1))*INDEX('W Assumptions'!$D$7:$F$7,1,D190)*INDEX('W Assumptions'!$D$32:$F$32,1,D190)</f>
        <v>19800</v>
      </c>
      <c r="L190" s="81" t="n">
        <f aca="false">SUM(I190:K190)</f>
        <v>221700.6</v>
      </c>
      <c r="M190" s="81" t="n">
        <f aca="false">'W Site Costs'!$I$10*F190*INDEX('W Assumptions'!$D$34:$F$34,1,D190)*INDEX('W Assumptions'!$D$22:$F$22,1,D190)</f>
        <v>50427.3</v>
      </c>
      <c r="N190" s="81" t="n">
        <f aca="false">'W Site Costs'!$J$10*F190*INDEX('W Assumptions'!$D$35:$F$35,1,D190)*INDEX('W Assumptions'!$D$22:$F$22,1,D190)</f>
        <v>31200</v>
      </c>
      <c r="O190" s="81" t="n">
        <f aca="false">L190*'W Site Costs'!$K$10</f>
        <v>0</v>
      </c>
      <c r="P190" s="81" t="n">
        <f aca="false">SUM('W Site Costs'!$L$10:$Q$10)*F190*INDEX('W Assumptions'!$D$35:$F$35,1,D190)*INDEX('W Assumptions'!$D$22:$F$22,1,D190)</f>
        <v>19760</v>
      </c>
      <c r="Q190" s="81" t="n">
        <f aca="false">L190*'W Site Costs'!$R$10*INDEX('W Assumptions'!$D$17:$F$17,1,D190)</f>
        <v>17736.048</v>
      </c>
      <c r="R190" s="112" t="n">
        <f aca="false">L190*'W Sites'!$M$10</f>
        <v>0</v>
      </c>
      <c r="S190" s="81" t="n">
        <f aca="false">SUM(M190:R190)</f>
        <v>119123.348</v>
      </c>
      <c r="T190" s="81" t="n">
        <f aca="false">L190-S190</f>
        <v>102577.252</v>
      </c>
      <c r="U190" s="81" t="n">
        <f aca="false">IF(C190='W Budget &amp; Owners'!$I$10,'W Budget &amp; Owners'!$F$10*'W Sites'!$G$10,0)</f>
        <v>0</v>
      </c>
      <c r="V190" s="81" t="n">
        <f aca="false">'W Sites'!$G$10*'W Budget &amp; Owners'!$E$10*INDEX('W Assumptions'!$D$27:$F$27,1,D190)*(IF(C190='W Budget &amp; Owners'!$I$10,'W Assumptions'!$D$65,0)+IF(C190=DATE(YEAR('W Sites'!$F$10),MONTH('W Sites'!$F$10),1),1-'W Assumptions'!$D$65,0))+'W Sites'!$G$10*'W Budget &amp; Owners'!$E$10*IF(C190=DATE(2027,9,1),'W Assumptions'!$D$67,IF(C190=DATE(2028,9,1),'W Assumptions'!$D$69,0))</f>
        <v>0</v>
      </c>
      <c r="W190" s="81" t="n">
        <f aca="false">IF(((YEAR(C190)-YEAR('W Sites'!$F$10))*12+MONTH(C190)-MONTH('W Sites'!$F$10))&lt;'W Budget &amp; Owners'!$H$10,'W Budget &amp; Owners'!$E$10/'W Budget &amp; Owners'!$H$10*F190,0)+IF(C190&gt;=DATE(2027,9,1),'W Budget &amp; Owners'!$E$10*'W Assumptions'!$D$67/'W Budget &amp; Owners'!$H$10*F190,0)+IF(C190&gt;=DATE(2028,9,1),'W Budget &amp; Owners'!$E$10*'W Assumptions'!$D$69/'W Budget &amp; Owners'!$H$10*F190,0)</f>
        <v>12750</v>
      </c>
      <c r="X190" s="81" t="n">
        <f aca="false">IF(C190='W Budget &amp; Owners'!$I$10,'W Budget &amp; Owners'!$G$10*'W Sites'!$G$10,0)</f>
        <v>0</v>
      </c>
      <c r="Y190" s="112" t="n">
        <f aca="false">IF(SUM($G$186:$G$195)=0,0,'W Fees &amp; KPI'!$Q$24*G190/SUM($G$186:$G$195))</f>
        <v>4250.67675344203</v>
      </c>
      <c r="Z190" s="119" t="n">
        <f aca="false">IF(SUM($G$186:$G$195)=0,0,SUM('W Fees &amp; KPI'!$J$24,'W Fees &amp; KPI'!$M$24)*G190/SUM($G$186:$G$195))</f>
        <v>4611.25</v>
      </c>
      <c r="AA190" s="117" t="n">
        <f aca="false">T190-U190-Z190-Y190</f>
        <v>93715.325246558</v>
      </c>
      <c r="AB190" s="119" t="n">
        <f aca="false">IF('W Fees &amp; KPI'!$D$24=0,0,T190-U190-Z190)</f>
        <v>97966.0020000001</v>
      </c>
    </row>
    <row r="191" customFormat="false" ht="21" hidden="false" customHeight="true" outlineLevel="0" collapsed="false">
      <c r="C191" s="144" t="n">
        <f aca="false">46813</f>
        <v>46813</v>
      </c>
      <c r="D191" s="81" t="n">
        <f aca="false">2</f>
        <v>2</v>
      </c>
      <c r="E191" s="81" t="str">
        <f aca="false">'W Sites'!C11</f>
        <v>S06</v>
      </c>
      <c r="F191" s="145" t="n">
        <f aca="false">'W Sites'!$G$11*MAX(0,EOMONTH(C191,0)-MAX(C191,'W Sites'!$F$11)+1)/DAY(EOMONTH(C191,0))</f>
        <v>1</v>
      </c>
      <c r="G191" s="145" t="n">
        <f aca="false">'W Sites'!$G$11*MAX(0,EOMONTH(C191,0)-MAX(C191,'W Sites'!$F$11,'W Assumptions'!$D$58)+1)/DAY(EOMONTH(C191,0))</f>
        <v>1</v>
      </c>
      <c r="H191" s="81" t="n">
        <f aca="false">'W Sites'!$H$11*F191*'W Sites'!$I$11*IF(((YEAR(C191)-YEAR('W Sites'!$F$11))*12+MONTH(C191)-MONTH('W Sites'!$F$11))=0,'W Assumptions'!$D$62,IF(((YEAR(C191)-YEAR('W Sites'!$F$11))*12+MONTH(C191)-MONTH('W Sites'!$F$11))=1,'W Assumptions'!$D$63,1))*INDEX('W Assumptions'!$D$7:$F$7,1,D191)*INDEX('W Assumptions'!$D$32:$F$32,1,D191)*INDEX('W Assumptions'!$D$80:$D$91,MONTH(C191),1)/AVERAGE('W Assumptions'!$D$80:$D$91)</f>
        <v>943.8</v>
      </c>
      <c r="I191" s="81" t="n">
        <f aca="false">H191*'W Sites'!$J$11/(1+'W Assumptions'!$D$39)*INDEX('W Assumptions'!$D$12:$F$12,1,D191)*INDEX('W Assumptions'!$D$33:$F$33,1,D191)</f>
        <v>50718.9913043478</v>
      </c>
      <c r="J191" s="81" t="n">
        <f aca="false">H191*'W Sites'!$K$11/(1+'W Assumptions'!$D$39)*INDEX('W Assumptions'!$D$12:$F$12,1,D191)*INDEX('W Assumptions'!$D$33:$F$33,1,D191)</f>
        <v>2535.94956521739</v>
      </c>
      <c r="K191" s="81" t="n">
        <f aca="false">'W Sites'!$L$11*F191*IF(((YEAR(C191)-YEAR('W Sites'!$F$11))*12+MONTH(C191)-MONTH('W Sites'!$F$11))=0,'W Assumptions'!$D$62,IF(((YEAR(C191)-YEAR('W Sites'!$F$11))*12+MONTH(C191)-MONTH('W Sites'!$F$11))=1,'W Assumptions'!$D$63,1))*INDEX('W Assumptions'!$D$7:$F$7,1,D191)*INDEX('W Assumptions'!$D$32:$F$32,1,D191)</f>
        <v>22000</v>
      </c>
      <c r="L191" s="81" t="n">
        <f aca="false">SUM(I191:K191)</f>
        <v>75254.9408695652</v>
      </c>
      <c r="M191" s="81" t="n">
        <f aca="false">'W Site Costs'!$I$11*F191*INDEX('W Assumptions'!$D$34:$F$34,1,D191)*INDEX('W Assumptions'!$D$22:$F$22,1,D191)</f>
        <v>25027.8</v>
      </c>
      <c r="N191" s="81" t="n">
        <f aca="false">'W Site Costs'!$J$11*F191*INDEX('W Assumptions'!$D$35:$F$35,1,D191)*INDEX('W Assumptions'!$D$22:$F$22,1,D191)</f>
        <v>5200</v>
      </c>
      <c r="O191" s="81" t="n">
        <f aca="false">L191*'W Site Costs'!$K$11</f>
        <v>0</v>
      </c>
      <c r="P191" s="81" t="n">
        <f aca="false">SUM('W Site Costs'!$L$11:$Q$11)*F191*INDEX('W Assumptions'!$D$35:$F$35,1,D191)*INDEX('W Assumptions'!$D$22:$F$22,1,D191)</f>
        <v>8320</v>
      </c>
      <c r="Q191" s="81" t="n">
        <f aca="false">L191*'W Site Costs'!$R$11*INDEX('W Assumptions'!$D$17:$F$17,1,D191)</f>
        <v>7525.49408695652</v>
      </c>
      <c r="R191" s="112" t="n">
        <f aca="false">L191*'W Sites'!$M$11</f>
        <v>0</v>
      </c>
      <c r="S191" s="81" t="n">
        <f aca="false">SUM(M191:R191)</f>
        <v>46073.2940869565</v>
      </c>
      <c r="T191" s="81" t="n">
        <f aca="false">L191-S191</f>
        <v>29181.6467826087</v>
      </c>
      <c r="U191" s="81" t="n">
        <f aca="false">IF(C191='W Budget &amp; Owners'!$I$11,'W Budget &amp; Owners'!$F$11*'W Sites'!$G$11,0)</f>
        <v>0</v>
      </c>
      <c r="V191" s="81" t="n">
        <f aca="false">'W Sites'!$G$11*'W Budget &amp; Owners'!$E$11*INDEX('W Assumptions'!$D$27:$F$27,1,D191)*(IF(C191='W Budget &amp; Owners'!$I$11,'W Assumptions'!$D$65,0)+IF(C191=DATE(YEAR('W Sites'!$F$11),MONTH('W Sites'!$F$11),1),1-'W Assumptions'!$D$65,0))+'W Sites'!$G$11*'W Budget &amp; Owners'!$E$11*IF(C191=DATE(2027,9,1),'W Assumptions'!$D$67,IF(C191=DATE(2028,9,1),'W Assumptions'!$D$69,0))</f>
        <v>0</v>
      </c>
      <c r="W191" s="81" t="n">
        <f aca="false">IF(((YEAR(C191)-YEAR('W Sites'!$F$11))*12+MONTH(C191)-MONTH('W Sites'!$F$11))&lt;'W Budget &amp; Owners'!$H$11,'W Budget &amp; Owners'!$E$11/'W Budget &amp; Owners'!$H$11*F191,0)+IF(C191&gt;=DATE(2027,9,1),'W Budget &amp; Owners'!$E$11*'W Assumptions'!$D$67/'W Budget &amp; Owners'!$H$11*F191,0)+IF(C191&gt;=DATE(2028,9,1),'W Budget &amp; Owners'!$E$11*'W Assumptions'!$D$69/'W Budget &amp; Owners'!$H$11*F191,0)</f>
        <v>2550</v>
      </c>
      <c r="X191" s="81" t="n">
        <f aca="false">IF(C191='W Budget &amp; Owners'!$I$11,'W Budget &amp; Owners'!$G$11*'W Sites'!$G$11,0)</f>
        <v>0</v>
      </c>
      <c r="Y191" s="112" t="n">
        <f aca="false">IF(SUM($G$186:$G$195)=0,0,'W Fees &amp; KPI'!$Q$24*G191/SUM($G$186:$G$195))</f>
        <v>4250.67675344203</v>
      </c>
      <c r="Z191" s="119" t="n">
        <f aca="false">IF(SUM($G$186:$G$195)=0,0,SUM('W Fees &amp; KPI'!$J$24,'W Fees &amp; KPI'!$M$24)*G191/SUM($G$186:$G$195))</f>
        <v>4611.25</v>
      </c>
      <c r="AA191" s="117" t="n">
        <f aca="false">T191-U191-Z191-Y191</f>
        <v>20319.7200291667</v>
      </c>
      <c r="AB191" s="119" t="n">
        <f aca="false">IF('W Fees &amp; KPI'!$D$24=0,0,T191-U191-Z191)</f>
        <v>24570.3967826087</v>
      </c>
    </row>
    <row r="192" customFormat="false" ht="21" hidden="false" customHeight="true" outlineLevel="0" collapsed="false">
      <c r="C192" s="144" t="n">
        <f aca="false">46813</f>
        <v>46813</v>
      </c>
      <c r="D192" s="81" t="n">
        <f aca="false">2</f>
        <v>2</v>
      </c>
      <c r="E192" s="81" t="str">
        <f aca="false">'W Sites'!C12</f>
        <v>S07</v>
      </c>
      <c r="F192" s="145" t="n">
        <f aca="false">'W Sites'!$G$12*MAX(0,EOMONTH(C192,0)-MAX(C192,'W Sites'!$F$12)+1)/DAY(EOMONTH(C192,0))</f>
        <v>1</v>
      </c>
      <c r="G192" s="145" t="n">
        <f aca="false">'W Sites'!$G$12*MAX(0,EOMONTH(C192,0)-MAX(C192,'W Sites'!$F$12,'W Assumptions'!$D$58)+1)/DAY(EOMONTH(C192,0))</f>
        <v>1</v>
      </c>
      <c r="H192" s="81" t="n">
        <f aca="false">'W Sites'!$H$12*F192*'W Sites'!$I$12*IF(((YEAR(C192)-YEAR('W Sites'!$F$12))*12+MONTH(C192)-MONTH('W Sites'!$F$12))=0,'W Assumptions'!$D$62,IF(((YEAR(C192)-YEAR('W Sites'!$F$12))*12+MONTH(C192)-MONTH('W Sites'!$F$12))=1,'W Assumptions'!$D$63,1))*INDEX('W Assumptions'!$D$7:$F$7,1,D192)*INDEX('W Assumptions'!$D$32:$F$32,1,D192)*INDEX('W Assumptions'!$D$80:$D$91,MONTH(C192),1)/AVERAGE('W Assumptions'!$D$80:$D$91)</f>
        <v>1101.1</v>
      </c>
      <c r="I192" s="81" t="n">
        <f aca="false">H192*'W Sites'!$J$12/(1+'W Assumptions'!$D$39)*INDEX('W Assumptions'!$D$12:$F$12,1,D192)*INDEX('W Assumptions'!$D$33:$F$33,1,D192)</f>
        <v>59172.1565217392</v>
      </c>
      <c r="J192" s="81" t="n">
        <f aca="false">H192*'W Sites'!$K$12/(1+'W Assumptions'!$D$39)*INDEX('W Assumptions'!$D$12:$F$12,1,D192)*INDEX('W Assumptions'!$D$33:$F$33,1,D192)</f>
        <v>2958.60782608696</v>
      </c>
      <c r="K192" s="81" t="n">
        <f aca="false">'W Sites'!$L$12*F192*IF(((YEAR(C192)-YEAR('W Sites'!$F$12))*12+MONTH(C192)-MONTH('W Sites'!$F$12))=0,'W Assumptions'!$D$62,IF(((YEAR(C192)-YEAR('W Sites'!$F$12))*12+MONTH(C192)-MONTH('W Sites'!$F$12))=1,'W Assumptions'!$D$63,1))*INDEX('W Assumptions'!$D$7:$F$7,1,D192)*INDEX('W Assumptions'!$D$32:$F$32,1,D192)</f>
        <v>19800</v>
      </c>
      <c r="L192" s="81" t="n">
        <f aca="false">SUM(I192:K192)</f>
        <v>81930.7643478261</v>
      </c>
      <c r="M192" s="81" t="n">
        <f aca="false">'W Site Costs'!$I$12*F192*INDEX('W Assumptions'!$D$34:$F$34,1,D192)*INDEX('W Assumptions'!$D$22:$F$22,1,D192)</f>
        <v>25027.8</v>
      </c>
      <c r="N192" s="81" t="n">
        <f aca="false">'W Site Costs'!$J$12*F192*INDEX('W Assumptions'!$D$35:$F$35,1,D192)*INDEX('W Assumptions'!$D$22:$F$22,1,D192)</f>
        <v>8320</v>
      </c>
      <c r="O192" s="81" t="n">
        <f aca="false">L192*'W Site Costs'!$K$12</f>
        <v>0</v>
      </c>
      <c r="P192" s="81" t="n">
        <f aca="false">SUM('W Site Costs'!$L$12:$Q$12)*F192*INDEX('W Assumptions'!$D$35:$F$35,1,D192)*INDEX('W Assumptions'!$D$22:$F$22,1,D192)</f>
        <v>8840</v>
      </c>
      <c r="Q192" s="81" t="n">
        <f aca="false">L192*'W Site Costs'!$R$12*INDEX('W Assumptions'!$D$17:$F$17,1,D192)</f>
        <v>8193.07643478261</v>
      </c>
      <c r="R192" s="112" t="n">
        <f aca="false">L192*'W Sites'!$M$12</f>
        <v>0</v>
      </c>
      <c r="S192" s="81" t="n">
        <f aca="false">SUM(M192:R192)</f>
        <v>50380.8764347826</v>
      </c>
      <c r="T192" s="81" t="n">
        <f aca="false">L192-S192</f>
        <v>31549.8879130435</v>
      </c>
      <c r="U192" s="81" t="n">
        <f aca="false">IF(C192='W Budget &amp; Owners'!$I$12,'W Budget &amp; Owners'!$F$12*'W Sites'!$G$12,0)</f>
        <v>0</v>
      </c>
      <c r="V192" s="81" t="n">
        <f aca="false">'W Sites'!$G$12*'W Budget &amp; Owners'!$E$12*INDEX('W Assumptions'!$D$27:$F$27,1,D192)*(IF(C192='W Budget &amp; Owners'!$I$12,'W Assumptions'!$D$65,0)+IF(C192=DATE(YEAR('W Sites'!$F$12),MONTH('W Sites'!$F$12),1),1-'W Assumptions'!$D$65,0))+'W Sites'!$G$12*'W Budget &amp; Owners'!$E$12*IF(C192=DATE(2027,9,1),'W Assumptions'!$D$67,IF(C192=DATE(2028,9,1),'W Assumptions'!$D$69,0))</f>
        <v>0</v>
      </c>
      <c r="W192" s="81" t="n">
        <f aca="false">IF(((YEAR(C192)-YEAR('W Sites'!$F$12))*12+MONTH(C192)-MONTH('W Sites'!$F$12))&lt;'W Budget &amp; Owners'!$H$12,'W Budget &amp; Owners'!$E$12/'W Budget &amp; Owners'!$H$12*F192,0)+IF(C192&gt;=DATE(2027,9,1),'W Budget &amp; Owners'!$E$12*'W Assumptions'!$D$67/'W Budget &amp; Owners'!$H$12*F192,0)+IF(C192&gt;=DATE(2028,9,1),'W Budget &amp; Owners'!$E$12*'W Assumptions'!$D$69/'W Budget &amp; Owners'!$H$12*F192,0)</f>
        <v>7650</v>
      </c>
      <c r="X192" s="81" t="n">
        <f aca="false">IF(C192='W Budget &amp; Owners'!$I$12,'W Budget &amp; Owners'!$G$12*'W Sites'!$G$12,0)</f>
        <v>0</v>
      </c>
      <c r="Y192" s="112" t="n">
        <f aca="false">IF(SUM($G$186:$G$195)=0,0,'W Fees &amp; KPI'!$Q$24*G192/SUM($G$186:$G$195))</f>
        <v>4250.67675344203</v>
      </c>
      <c r="Z192" s="119" t="n">
        <f aca="false">IF(SUM($G$186:$G$195)=0,0,SUM('W Fees &amp; KPI'!$J$24,'W Fees &amp; KPI'!$M$24)*G192/SUM($G$186:$G$195))</f>
        <v>4611.25</v>
      </c>
      <c r="AA192" s="117" t="n">
        <f aca="false">T192-U192-Z192-Y192</f>
        <v>22687.9611596015</v>
      </c>
      <c r="AB192" s="119" t="n">
        <f aca="false">IF('W Fees &amp; KPI'!$D$24=0,0,T192-U192-Z192)</f>
        <v>26938.6379130435</v>
      </c>
    </row>
    <row r="193" customFormat="false" ht="21" hidden="false" customHeight="true" outlineLevel="0" collapsed="false">
      <c r="C193" s="144" t="n">
        <f aca="false">46813</f>
        <v>46813</v>
      </c>
      <c r="D193" s="81" t="n">
        <f aca="false">2</f>
        <v>2</v>
      </c>
      <c r="E193" s="81" t="str">
        <f aca="false">'W Sites'!C13</f>
        <v>S08</v>
      </c>
      <c r="F193" s="145" t="n">
        <f aca="false">'W Sites'!$G$13*MAX(0,EOMONTH(C193,0)-MAX(C193,'W Sites'!$F$13)+1)/DAY(EOMONTH(C193,0))</f>
        <v>1</v>
      </c>
      <c r="G193" s="145" t="n">
        <f aca="false">'W Sites'!$G$13*MAX(0,EOMONTH(C193,0)-MAX(C193,'W Sites'!$F$13,'W Assumptions'!$D$58)+1)/DAY(EOMONTH(C193,0))</f>
        <v>1</v>
      </c>
      <c r="H193" s="81" t="n">
        <f aca="false">'W Sites'!$H$13*F193*'W Sites'!$I$13*IF(((YEAR(C193)-YEAR('W Sites'!$F$13))*12+MONTH(C193)-MONTH('W Sites'!$F$13))=0,'W Assumptions'!$D$62,IF(((YEAR(C193)-YEAR('W Sites'!$F$13))*12+MONTH(C193)-MONTH('W Sites'!$F$13))=1,'W Assumptions'!$D$63,1))*INDEX('W Assumptions'!$D$7:$F$7,1,D193)*INDEX('W Assumptions'!$D$32:$F$32,1,D193)*INDEX('W Assumptions'!$D$80:$D$91,MONTH(C193),1)/AVERAGE('W Assumptions'!$D$80:$D$91)</f>
        <v>4719</v>
      </c>
      <c r="I193" s="81" t="n">
        <f aca="false">H193*'W Sites'!$J$13/(1+'W Assumptions'!$D$39)*INDEX('W Assumptions'!$D$12:$F$12,1,D193)*INDEX('W Assumptions'!$D$33:$F$33,1,D193)</f>
        <v>169063.304347826</v>
      </c>
      <c r="J193" s="81" t="n">
        <f aca="false">H193*'W Sites'!$K$13/(1+'W Assumptions'!$D$39)*INDEX('W Assumptions'!$D$12:$F$12,1,D193)*INDEX('W Assumptions'!$D$33:$F$33,1,D193)</f>
        <v>21132.9130434783</v>
      </c>
      <c r="K193" s="81" t="n">
        <f aca="false">'W Sites'!$L$13*F193*IF(((YEAR(C193)-YEAR('W Sites'!$F$13))*12+MONTH(C193)-MONTH('W Sites'!$F$13))=0,'W Assumptions'!$D$62,IF(((YEAR(C193)-YEAR('W Sites'!$F$13))*12+MONTH(C193)-MONTH('W Sites'!$F$13))=1,'W Assumptions'!$D$63,1))*INDEX('W Assumptions'!$D$7:$F$7,1,D193)*INDEX('W Assumptions'!$D$32:$F$32,1,D193)</f>
        <v>16500</v>
      </c>
      <c r="L193" s="81" t="n">
        <f aca="false">SUM(I193:K193)</f>
        <v>206696.217391304</v>
      </c>
      <c r="M193" s="81" t="n">
        <f aca="false">'W Site Costs'!$I$13*F193*INDEX('W Assumptions'!$D$34:$F$34,1,D193)*INDEX('W Assumptions'!$D$22:$F$22,1,D193)</f>
        <v>56002.8</v>
      </c>
      <c r="N193" s="81" t="n">
        <f aca="false">'W Site Costs'!$J$13*F193*INDEX('W Assumptions'!$D$35:$F$35,1,D193)*INDEX('W Assumptions'!$D$22:$F$22,1,D193)</f>
        <v>0</v>
      </c>
      <c r="O193" s="81" t="n">
        <f aca="false">L193*'W Site Costs'!$K$13</f>
        <v>20669.6217391304</v>
      </c>
      <c r="P193" s="81" t="n">
        <f aca="false">SUM('W Site Costs'!$L$13:$Q$13)*F193*INDEX('W Assumptions'!$D$35:$F$35,1,D193)*INDEX('W Assumptions'!$D$22:$F$22,1,D193)</f>
        <v>26520</v>
      </c>
      <c r="Q193" s="81" t="n">
        <f aca="false">L193*'W Site Costs'!$R$13*INDEX('W Assumptions'!$D$17:$F$17,1,D193)</f>
        <v>16535.6973913044</v>
      </c>
      <c r="R193" s="112" t="n">
        <f aca="false">L193*'W Sites'!$M$13</f>
        <v>0</v>
      </c>
      <c r="S193" s="81" t="n">
        <f aca="false">SUM(M193:R193)</f>
        <v>119728.119130435</v>
      </c>
      <c r="T193" s="81" t="n">
        <f aca="false">L193-S193</f>
        <v>86968.0982608696</v>
      </c>
      <c r="U193" s="81" t="n">
        <f aca="false">IF(C193='W Budget &amp; Owners'!$I$13,'W Budget &amp; Owners'!$F$13*'W Sites'!$G$13,0)</f>
        <v>0</v>
      </c>
      <c r="V193" s="81" t="n">
        <f aca="false">'W Sites'!$G$13*'W Budget &amp; Owners'!$E$13*INDEX('W Assumptions'!$D$27:$F$27,1,D193)*(IF(C193='W Budget &amp; Owners'!$I$13,'W Assumptions'!$D$65,0)+IF(C193=DATE(YEAR('W Sites'!$F$13),MONTH('W Sites'!$F$13),1),1-'W Assumptions'!$D$65,0))+'W Sites'!$G$13*'W Budget &amp; Owners'!$E$13*IF(C193=DATE(2027,9,1),'W Assumptions'!$D$67,IF(C193=DATE(2028,9,1),'W Assumptions'!$D$69,0))</f>
        <v>0</v>
      </c>
      <c r="W193" s="81" t="n">
        <f aca="false">IF(((YEAR(C193)-YEAR('W Sites'!$F$13))*12+MONTH(C193)-MONTH('W Sites'!$F$13))&lt;'W Budget &amp; Owners'!$H$13,'W Budget &amp; Owners'!$E$13/'W Budget &amp; Owners'!$H$13*F193,0)+IF(C193&gt;=DATE(2027,9,1),'W Budget &amp; Owners'!$E$13*'W Assumptions'!$D$67/'W Budget &amp; Owners'!$H$13*F193,0)+IF(C193&gt;=DATE(2028,9,1),'W Budget &amp; Owners'!$E$13*'W Assumptions'!$D$69/'W Budget &amp; Owners'!$H$13*F193,0)</f>
        <v>20400</v>
      </c>
      <c r="X193" s="81" t="n">
        <f aca="false">IF(C193='W Budget &amp; Owners'!$I$13,'W Budget &amp; Owners'!$G$13*'W Sites'!$G$13,0)</f>
        <v>0</v>
      </c>
      <c r="Y193" s="112" t="n">
        <f aca="false">IF(SUM($G$186:$G$195)=0,0,'W Fees &amp; KPI'!$Q$24*G193/SUM($G$186:$G$195))</f>
        <v>4250.67675344203</v>
      </c>
      <c r="Z193" s="119" t="n">
        <f aca="false">IF(SUM($G$186:$G$195)=0,0,SUM('W Fees &amp; KPI'!$J$24,'W Fees &amp; KPI'!$M$24)*G193/SUM($G$186:$G$195))</f>
        <v>4611.25</v>
      </c>
      <c r="AA193" s="117" t="n">
        <f aca="false">T193-U193-Z193-Y193</f>
        <v>78106.1715074276</v>
      </c>
      <c r="AB193" s="119" t="n">
        <f aca="false">IF('W Fees &amp; KPI'!$D$24=0,0,T193-U193-Z193)</f>
        <v>82356.8482608696</v>
      </c>
    </row>
    <row r="194" customFormat="false" ht="21" hidden="false" customHeight="true" outlineLevel="0" collapsed="false">
      <c r="C194" s="144" t="n">
        <f aca="false">46813</f>
        <v>46813</v>
      </c>
      <c r="D194" s="81" t="n">
        <f aca="false">2</f>
        <v>2</v>
      </c>
      <c r="E194" s="81" t="str">
        <f aca="false">'W Sites'!C14</f>
        <v>S09</v>
      </c>
      <c r="F194" s="145" t="n">
        <f aca="false">'W Sites'!$G$14*MAX(0,EOMONTH(C194,0)-MAX(C194,'W Sites'!$F$14)+1)/DAY(EOMONTH(C194,0))</f>
        <v>0</v>
      </c>
      <c r="G194" s="145" t="n">
        <f aca="false">'W Sites'!$G$14*MAX(0,EOMONTH(C194,0)-MAX(C194,'W Sites'!$F$14,'W Assumptions'!$D$58)+1)/DAY(EOMONTH(C194,0))</f>
        <v>0</v>
      </c>
      <c r="H194" s="81" t="n">
        <f aca="false">'W Sites'!$H$14*F194*'W Sites'!$I$14*IF(((YEAR(C194)-YEAR('W Sites'!$F$14))*12+MONTH(C194)-MONTH('W Sites'!$F$14))=0,'W Assumptions'!$D$62,IF(((YEAR(C194)-YEAR('W Sites'!$F$14))*12+MONTH(C194)-MONTH('W Sites'!$F$14))=1,'W Assumptions'!$D$63,1))*INDEX('W Assumptions'!$D$7:$F$7,1,D194)*INDEX('W Assumptions'!$D$32:$F$32,1,D194)*INDEX('W Assumptions'!$D$80:$D$91,MONTH(C194),1)/AVERAGE('W Assumptions'!$D$80:$D$91)</f>
        <v>0</v>
      </c>
      <c r="I194" s="81" t="n">
        <f aca="false">H194*'W Sites'!$J$14/(1+'W Assumptions'!$D$39)*INDEX('W Assumptions'!$D$12:$F$12,1,D194)*INDEX('W Assumptions'!$D$33:$F$33,1,D194)</f>
        <v>0</v>
      </c>
      <c r="J194" s="81" t="n">
        <f aca="false">H194*'W Sites'!$K$14/(1+'W Assumptions'!$D$39)*INDEX('W Assumptions'!$D$12:$F$12,1,D194)*INDEX('W Assumptions'!$D$33:$F$33,1,D194)</f>
        <v>0</v>
      </c>
      <c r="K194" s="81" t="n">
        <f aca="false">'W Sites'!$L$14*F194*IF(((YEAR(C194)-YEAR('W Sites'!$F$14))*12+MONTH(C194)-MONTH('W Sites'!$F$14))=0,'W Assumptions'!$D$62,IF(((YEAR(C194)-YEAR('W Sites'!$F$14))*12+MONTH(C194)-MONTH('W Sites'!$F$14))=1,'W Assumptions'!$D$63,1))*INDEX('W Assumptions'!$D$7:$F$7,1,D194)*INDEX('W Assumptions'!$D$32:$F$32,1,D194)</f>
        <v>0</v>
      </c>
      <c r="L194" s="81" t="n">
        <f aca="false">SUM(I194:K194)</f>
        <v>0</v>
      </c>
      <c r="M194" s="81" t="n">
        <f aca="false">'W Site Costs'!$I$14*F194*INDEX('W Assumptions'!$D$34:$F$34,1,D194)*INDEX('W Assumptions'!$D$22:$F$22,1,D194)</f>
        <v>0</v>
      </c>
      <c r="N194" s="81" t="n">
        <f aca="false">'W Site Costs'!$J$14*F194*INDEX('W Assumptions'!$D$35:$F$35,1,D194)*INDEX('W Assumptions'!$D$22:$F$22,1,D194)</f>
        <v>0</v>
      </c>
      <c r="O194" s="81" t="n">
        <f aca="false">L194*'W Site Costs'!$K$14</f>
        <v>0</v>
      </c>
      <c r="P194" s="81" t="n">
        <f aca="false">SUM('W Site Costs'!$L$14:$Q$14)*F194*INDEX('W Assumptions'!$D$35:$F$35,1,D194)*INDEX('W Assumptions'!$D$22:$F$22,1,D194)</f>
        <v>0</v>
      </c>
      <c r="Q194" s="81" t="n">
        <f aca="false">L194*'W Site Costs'!$R$14*INDEX('W Assumptions'!$D$17:$F$17,1,D194)</f>
        <v>0</v>
      </c>
      <c r="R194" s="112" t="n">
        <f aca="false">L194*'W Sites'!$M$14</f>
        <v>0</v>
      </c>
      <c r="S194" s="81" t="n">
        <f aca="false">SUM(M194:R194)</f>
        <v>0</v>
      </c>
      <c r="T194" s="81" t="n">
        <f aca="false">L194-S194</f>
        <v>0</v>
      </c>
      <c r="U194" s="81" t="n">
        <f aca="false">IF(C194='W Budget &amp; Owners'!$I$14,'W Budget &amp; Owners'!$F$14*'W Sites'!$G$14,0)</f>
        <v>0</v>
      </c>
      <c r="V194" s="81" t="n">
        <f aca="false">'W Sites'!$G$14*'W Budget &amp; Owners'!$E$14*INDEX('W Assumptions'!$D$27:$F$27,1,D194)*(IF(C194='W Budget &amp; Owners'!$I$14,'W Assumptions'!$D$65,0)+IF(C194=DATE(YEAR('W Sites'!$F$14),MONTH('W Sites'!$F$14),1),1-'W Assumptions'!$D$65,0))+'W Sites'!$G$14*'W Budget &amp; Owners'!$E$14*IF(C194=DATE(2027,9,1),'W Assumptions'!$D$67,IF(C194=DATE(2028,9,1),'W Assumptions'!$D$69,0))</f>
        <v>0</v>
      </c>
      <c r="W194" s="81" t="n">
        <f aca="false">IF(((YEAR(C194)-YEAR('W Sites'!$F$14))*12+MONTH(C194)-MONTH('W Sites'!$F$14))&lt;'W Budget &amp; Owners'!$H$14,'W Budget &amp; Owners'!$E$14/'W Budget &amp; Owners'!$H$14*F194,0)+IF(C194&gt;=DATE(2027,9,1),'W Budget &amp; Owners'!$E$14*'W Assumptions'!$D$67/'W Budget &amp; Owners'!$H$14*F194,0)+IF(C194&gt;=DATE(2028,9,1),'W Budget &amp; Owners'!$E$14*'W Assumptions'!$D$69/'W Budget &amp; Owners'!$H$14*F194,0)</f>
        <v>0</v>
      </c>
      <c r="X194" s="81" t="n">
        <f aca="false">IF(C194='W Budget &amp; Owners'!$I$14,'W Budget &amp; Owners'!$G$14*'W Sites'!$G$14,0)</f>
        <v>0</v>
      </c>
      <c r="Y194" s="112" t="n">
        <f aca="false">IF(SUM($G$186:$G$195)=0,0,'W Fees &amp; KPI'!$Q$24*G194/SUM($G$186:$G$195))</f>
        <v>0</v>
      </c>
      <c r="Z194" s="119" t="n">
        <f aca="false">IF(SUM($G$186:$G$195)=0,0,SUM('W Fees &amp; KPI'!$J$24,'W Fees &amp; KPI'!$M$24)*G194/SUM($G$186:$G$195))</f>
        <v>0</v>
      </c>
      <c r="AA194" s="117" t="n">
        <f aca="false">T194-U194-Z194-Y194</f>
        <v>0</v>
      </c>
      <c r="AB194" s="119" t="n">
        <f aca="false">IF('W Fees &amp; KPI'!$D$24=0,0,T194-U194-Z194)</f>
        <v>0</v>
      </c>
    </row>
    <row r="195" customFormat="false" ht="21" hidden="false" customHeight="true" outlineLevel="0" collapsed="false">
      <c r="C195" s="144" t="n">
        <f aca="false">46813</f>
        <v>46813</v>
      </c>
      <c r="D195" s="81" t="n">
        <f aca="false">2</f>
        <v>2</v>
      </c>
      <c r="E195" s="81" t="str">
        <f aca="false">'W Sites'!C15</f>
        <v>S10</v>
      </c>
      <c r="F195" s="145" t="n">
        <f aca="false">'W Sites'!$G$15*MAX(0,EOMONTH(C195,0)-MAX(C195,'W Sites'!$F$15)+1)/DAY(EOMONTH(C195,0))</f>
        <v>0</v>
      </c>
      <c r="G195" s="145" t="n">
        <f aca="false">'W Sites'!$G$15*MAX(0,EOMONTH(C195,0)-MAX(C195,'W Sites'!$F$15,'W Assumptions'!$D$58)+1)/DAY(EOMONTH(C195,0))</f>
        <v>0</v>
      </c>
      <c r="H195" s="81" t="n">
        <f aca="false">'W Sites'!$H$15*F195*'W Sites'!$I$15*IF(((YEAR(C195)-YEAR('W Sites'!$F$15))*12+MONTH(C195)-MONTH('W Sites'!$F$15))=0,'W Assumptions'!$D$62,IF(((YEAR(C195)-YEAR('W Sites'!$F$15))*12+MONTH(C195)-MONTH('W Sites'!$F$15))=1,'W Assumptions'!$D$63,1))*INDEX('W Assumptions'!$D$7:$F$7,1,D195)*INDEX('W Assumptions'!$D$32:$F$32,1,D195)*INDEX('W Assumptions'!$D$80:$D$91,MONTH(C195),1)/AVERAGE('W Assumptions'!$D$80:$D$91)</f>
        <v>0</v>
      </c>
      <c r="I195" s="81" t="n">
        <f aca="false">H195*'W Sites'!$J$15/(1+'W Assumptions'!$D$39)*INDEX('W Assumptions'!$D$12:$F$12,1,D195)*INDEX('W Assumptions'!$D$33:$F$33,1,D195)</f>
        <v>0</v>
      </c>
      <c r="J195" s="81" t="n">
        <f aca="false">H195*'W Sites'!$K$15/(1+'W Assumptions'!$D$39)*INDEX('W Assumptions'!$D$12:$F$12,1,D195)*INDEX('W Assumptions'!$D$33:$F$33,1,D195)</f>
        <v>0</v>
      </c>
      <c r="K195" s="81" t="n">
        <f aca="false">'W Sites'!$L$15*F195*IF(((YEAR(C195)-YEAR('W Sites'!$F$15))*12+MONTH(C195)-MONTH('W Sites'!$F$15))=0,'W Assumptions'!$D$62,IF(((YEAR(C195)-YEAR('W Sites'!$F$15))*12+MONTH(C195)-MONTH('W Sites'!$F$15))=1,'W Assumptions'!$D$63,1))*INDEX('W Assumptions'!$D$7:$F$7,1,D195)*INDEX('W Assumptions'!$D$32:$F$32,1,D195)</f>
        <v>0</v>
      </c>
      <c r="L195" s="81" t="n">
        <f aca="false">SUM(I195:K195)</f>
        <v>0</v>
      </c>
      <c r="M195" s="81" t="n">
        <f aca="false">'W Site Costs'!$I$15*F195*INDEX('W Assumptions'!$D$34:$F$34,1,D195)*INDEX('W Assumptions'!$D$22:$F$22,1,D195)</f>
        <v>0</v>
      </c>
      <c r="N195" s="81" t="n">
        <f aca="false">'W Site Costs'!$J$15*F195*INDEX('W Assumptions'!$D$35:$F$35,1,D195)*INDEX('W Assumptions'!$D$22:$F$22,1,D195)</f>
        <v>0</v>
      </c>
      <c r="O195" s="81" t="n">
        <f aca="false">L195*'W Site Costs'!$K$15</f>
        <v>0</v>
      </c>
      <c r="P195" s="81" t="n">
        <f aca="false">SUM('W Site Costs'!$L$15:$Q$15)*F195*INDEX('W Assumptions'!$D$35:$F$35,1,D195)*INDEX('W Assumptions'!$D$22:$F$22,1,D195)</f>
        <v>0</v>
      </c>
      <c r="Q195" s="81" t="n">
        <f aca="false">L195*'W Site Costs'!$R$15*INDEX('W Assumptions'!$D$17:$F$17,1,D195)</f>
        <v>0</v>
      </c>
      <c r="R195" s="112" t="n">
        <f aca="false">L195*'W Sites'!$M$15</f>
        <v>0</v>
      </c>
      <c r="S195" s="81" t="n">
        <f aca="false">SUM(M195:R195)</f>
        <v>0</v>
      </c>
      <c r="T195" s="81" t="n">
        <f aca="false">L195-S195</f>
        <v>0</v>
      </c>
      <c r="U195" s="81" t="n">
        <f aca="false">IF(C195='W Budget &amp; Owners'!$I$15,'W Budget &amp; Owners'!$F$15*'W Sites'!$G$15,0)</f>
        <v>0</v>
      </c>
      <c r="V195" s="81" t="n">
        <f aca="false">'W Sites'!$G$15*'W Budget &amp; Owners'!$E$15*INDEX('W Assumptions'!$D$27:$F$27,1,D195)*(IF(C195='W Budget &amp; Owners'!$I$15,'W Assumptions'!$D$65,0)+IF(C195=DATE(YEAR('W Sites'!$F$15),MONTH('W Sites'!$F$15),1),1-'W Assumptions'!$D$65,0))+'W Sites'!$G$15*'W Budget &amp; Owners'!$E$15*IF(C195=DATE(2027,9,1),'W Assumptions'!$D$67,IF(C195=DATE(2028,9,1),'W Assumptions'!$D$69,0))</f>
        <v>0</v>
      </c>
      <c r="W195" s="81" t="n">
        <f aca="false">IF(((YEAR(C195)-YEAR('W Sites'!$F$15))*12+MONTH(C195)-MONTH('W Sites'!$F$15))&lt;'W Budget &amp; Owners'!$H$15,'W Budget &amp; Owners'!$E$15/'W Budget &amp; Owners'!$H$15*F195,0)+IF(C195&gt;=DATE(2027,9,1),'W Budget &amp; Owners'!$E$15*'W Assumptions'!$D$67/'W Budget &amp; Owners'!$H$15*F195,0)+IF(C195&gt;=DATE(2028,9,1),'W Budget &amp; Owners'!$E$15*'W Assumptions'!$D$69/'W Budget &amp; Owners'!$H$15*F195,0)</f>
        <v>0</v>
      </c>
      <c r="X195" s="81" t="n">
        <f aca="false">IF(C195='W Budget &amp; Owners'!$I$15,'W Budget &amp; Owners'!$G$15*'W Sites'!$G$15,0)</f>
        <v>0</v>
      </c>
      <c r="Y195" s="112" t="n">
        <f aca="false">IF(SUM($G$186:$G$195)=0,0,'W Fees &amp; KPI'!$Q$24*G195/SUM($G$186:$G$195))</f>
        <v>0</v>
      </c>
      <c r="Z195" s="119" t="n">
        <f aca="false">IF(SUM($G$186:$G$195)=0,0,SUM('W Fees &amp; KPI'!$J$24,'W Fees &amp; KPI'!$M$24)*G195/SUM($G$186:$G$195))</f>
        <v>0</v>
      </c>
      <c r="AA195" s="117" t="n">
        <f aca="false">T195-U195-Z195-Y195</f>
        <v>0</v>
      </c>
      <c r="AB195" s="119" t="n">
        <f aca="false">IF('W Fees &amp; KPI'!$D$24=0,0,T195-U195-Z195)</f>
        <v>0</v>
      </c>
    </row>
    <row r="196" customFormat="false" ht="21" hidden="false" customHeight="true" outlineLevel="0" collapsed="false">
      <c r="C196" s="144" t="n">
        <f aca="false">46844</f>
        <v>46844</v>
      </c>
      <c r="D196" s="81" t="n">
        <f aca="false">2</f>
        <v>2</v>
      </c>
      <c r="E196" s="81" t="str">
        <f aca="false">'W Sites'!C6</f>
        <v>S01</v>
      </c>
      <c r="F196" s="145" t="n">
        <f aca="false">'W Sites'!$G$6*MAX(0,EOMONTH(C196,0)-MAX(C196,'W Sites'!$F$6)+1)/DAY(EOMONTH(C196,0))</f>
        <v>1</v>
      </c>
      <c r="G196" s="145" t="n">
        <f aca="false">'W Sites'!$G$6*MAX(0,EOMONTH(C196,0)-MAX(C196,'W Sites'!$F$6,'W Assumptions'!$D$58)+1)/DAY(EOMONTH(C196,0))</f>
        <v>1</v>
      </c>
      <c r="H196" s="81" t="n">
        <f aca="false">'W Sites'!$D$45*INDEX('W Sites'!$E$65:$E$76,MONTH(C196),1)/SUM('W Sites'!$E$65:$E$76)*F196*(1+'W Sites'!$D$56)^(D196-1)*INDEX('W Assumptions'!$D$7:$F$7,1,D196)</f>
        <v>6211.6</v>
      </c>
      <c r="I196" s="81" t="n">
        <f aca="false">H196*'W Sites'!$D$46/(1+'W Sites'!$D$54*'W Assumptions'!$D$39)*INDEX('W Assumptions'!$D$12:$F$12,1,D196)</f>
        <v>341638</v>
      </c>
      <c r="J196" s="81" t="n">
        <f aca="false">H196*SUM('W Sites'!$D$47:$D$49)/(1+'W Sites'!$D$54*'W Assumptions'!$D$39)*INDEX('W Assumptions'!$D$12:$F$12,1,D196)</f>
        <v>186348</v>
      </c>
      <c r="K196" s="81" t="n">
        <f aca="false">SUM('W Sites'!$D$50:$D$52)/12*F196*(1+'W Sites'!$D$56)^(D196-1)*INDEX('W Assumptions'!$D$7:$F$7,1,D196)*INDEX('W Assumptions'!$D$12:$F$12,1,D196)/(1+'W Sites'!$D$54*'W Assumptions'!$D$39)</f>
        <v>35333.3333333333</v>
      </c>
      <c r="L196" s="81" t="n">
        <f aca="false">SUM(I196:K196)</f>
        <v>563319.333333333</v>
      </c>
      <c r="M196" s="81" t="n">
        <f aca="false">('W Site Costs'!$I$6+INDEX('W Sites'!$F$65:$F$76,MONTH(C196),1)*'W Site Costs'!$V$6)*F196*(1+'W Sites'!$D$58)^(D196-1)*INDEX('W Assumptions'!$D$22:$F$22,1,D196)</f>
        <v>169520</v>
      </c>
      <c r="N196" s="81" t="n">
        <f aca="false">'W Site Costs'!$J$6*F196*INDEX('W Assumptions'!$D$35:$F$35,1,D196)*INDEX('W Assumptions'!$D$22:$F$22,1,D196)</f>
        <v>15600</v>
      </c>
      <c r="O196" s="81" t="n">
        <f aca="false">L196*'W Site Costs'!$K$6</f>
        <v>0</v>
      </c>
      <c r="P196" s="81" t="n">
        <f aca="false">(SUM('W Site Costs'!$L$6:$Q$6)+INDEX('W Sites'!$F$65:$F$76,MONTH(C196),1)*'W Site Costs'!$W$6)*F196*(1+'W Sites'!$D$58)^(D196-1)*INDEX('W Assumptions'!$D$22:$F$22,1,D196)</f>
        <v>111280</v>
      </c>
      <c r="Q196" s="81" t="n">
        <f aca="false">('W Site Costs'!$X$6+INDEX('W Sites'!$F$65:$F$76,MONTH(C196),1)*'W Site Costs'!$Y$6)*F196*(1+'W Sites'!$D$58)^(D196-1)*INDEX('W Assumptions'!$D$17:$F$17,1,D196)</f>
        <v>26000</v>
      </c>
      <c r="R196" s="112" t="n">
        <f aca="false">L196*'W Sites'!$M$6</f>
        <v>0</v>
      </c>
      <c r="S196" s="81" t="n">
        <f aca="false">SUM(M196:R196)</f>
        <v>322400</v>
      </c>
      <c r="T196" s="81" t="n">
        <f aca="false">L196-S196</f>
        <v>240919.333333333</v>
      </c>
      <c r="U196" s="81" t="n">
        <f aca="false">IF(C196='W Budget &amp; Owners'!$I$6,'W Budget &amp; Owners'!$F$6*'W Sites'!$G$6,0)</f>
        <v>0</v>
      </c>
      <c r="V196" s="81" t="n">
        <f aca="false">'W Sites'!$G$6*'W Budget &amp; Owners'!$E$6*INDEX('W Assumptions'!$D$27:$F$27,1,D196)*(IF(C196='W Budget &amp; Owners'!$I$6,'W Assumptions'!$D$65,0)+IF(C196=DATE(YEAR('W Sites'!$F$6),MONTH('W Sites'!$F$6),1),1-'W Assumptions'!$D$65,0))+'W Sites'!$G$6*'W Budget &amp; Owners'!$E$6*IF(C196=DATE(2027,9,1),'W Assumptions'!$D$67,IF(C196=DATE(2028,9,1),'W Assumptions'!$D$69,0))</f>
        <v>0</v>
      </c>
      <c r="W196" s="81" t="n">
        <f aca="false">IF(((YEAR(C196)-YEAR('W Sites'!$F$6))*12+MONTH(C196)-MONTH('W Sites'!$F$6))&lt;'W Budget &amp; Owners'!$H$6,'W Budget &amp; Owners'!$E$6/'W Budget &amp; Owners'!$H$6*F196,0)+IF(C196&gt;=DATE(2027,9,1),'W Budget &amp; Owners'!$E$6*'W Assumptions'!$D$67/'W Budget &amp; Owners'!$H$6*F196,0)+IF(C196&gt;=DATE(2028,9,1),'W Budget &amp; Owners'!$E$6*'W Assumptions'!$D$69/'W Budget &amp; Owners'!$H$6*F196,0)</f>
        <v>5950</v>
      </c>
      <c r="X196" s="81" t="n">
        <f aca="false">IF(C196='W Budget &amp; Owners'!$I$6,'W Budget &amp; Owners'!$G$6*'W Sites'!$G$6,0)</f>
        <v>0</v>
      </c>
      <c r="Y196" s="112" t="n">
        <f aca="false">IF(SUM($G$196:$G$205)=0,0,'W Fees &amp; KPI'!$Q$25*G196/SUM($G$196:$G$205))</f>
        <v>4005.33884230073</v>
      </c>
      <c r="Z196" s="119" t="n">
        <f aca="false">IF(SUM($G$196:$G$205)=0,0,SUM('W Fees &amp; KPI'!$J$25,'W Fees &amp; KPI'!$M$25)*G196/SUM($G$196:$G$205))</f>
        <v>4611.25</v>
      </c>
      <c r="AA196" s="117" t="n">
        <f aca="false">T196-U196-Z196-Y196</f>
        <v>232302.744491033</v>
      </c>
      <c r="AB196" s="119" t="n">
        <f aca="false">IF('W Fees &amp; KPI'!$D$25=0,0,T196-U196-Z196)</f>
        <v>236308.083333333</v>
      </c>
    </row>
    <row r="197" customFormat="false" ht="21" hidden="false" customHeight="true" outlineLevel="0" collapsed="false">
      <c r="C197" s="144" t="n">
        <f aca="false">46844</f>
        <v>46844</v>
      </c>
      <c r="D197" s="81" t="n">
        <f aca="false">2</f>
        <v>2</v>
      </c>
      <c r="E197" s="81" t="str">
        <f aca="false">'W Sites'!C7</f>
        <v>S02</v>
      </c>
      <c r="F197" s="145" t="n">
        <f aca="false">'W Sites'!$G$7*MAX(0,EOMONTH(C197,0)-MAX(C197,'W Sites'!$F$7)+1)/DAY(EOMONTH(C197,0))</f>
        <v>1</v>
      </c>
      <c r="G197" s="145" t="n">
        <f aca="false">'W Sites'!$G$7*MAX(0,EOMONTH(C197,0)-MAX(C197,'W Sites'!$F$7,'W Assumptions'!$D$58)+1)/DAY(EOMONTH(C197,0))</f>
        <v>1</v>
      </c>
      <c r="H197" s="81" t="n">
        <f aca="false">'W Sites'!$H$7*F197*'W Sites'!$I$7*IF(((YEAR(C197)-YEAR('W Sites'!$F$7))*12+MONTH(C197)-MONTH('W Sites'!$F$7))=0,'W Assumptions'!$D$62,IF(((YEAR(C197)-YEAR('W Sites'!$F$7))*12+MONTH(C197)-MONTH('W Sites'!$F$7))=1,'W Assumptions'!$D$63,1))*INDEX('W Assumptions'!$D$7:$F$7,1,D197)*INDEX('W Assumptions'!$D$32:$F$32,1,D197)*INDEX('W Assumptions'!$D$80:$D$91,MONTH(C197),1)/AVERAGE('W Assumptions'!$D$80:$D$91)</f>
        <v>2425.5</v>
      </c>
      <c r="I197" s="81" t="n">
        <f aca="false">H197*'W Sites'!$J$7/(1+'W Assumptions'!$D$39)*INDEX('W Assumptions'!$D$12:$F$12,1,D197)*INDEX('W Assumptions'!$D$33:$F$33,1,D197)</f>
        <v>76034.1521739131</v>
      </c>
      <c r="J197" s="81" t="n">
        <f aca="false">H197*'W Sites'!$K$7/(1+'W Assumptions'!$D$39)*INDEX('W Assumptions'!$D$12:$F$12,1,D197)*INDEX('W Assumptions'!$D$33:$F$33,1,D197)</f>
        <v>6517.21304347826</v>
      </c>
      <c r="K197" s="81" t="n">
        <f aca="false">'W Sites'!$L$7*F197*IF(((YEAR(C197)-YEAR('W Sites'!$F$7))*12+MONTH(C197)-MONTH('W Sites'!$F$7))=0,'W Assumptions'!$D$62,IF(((YEAR(C197)-YEAR('W Sites'!$F$7))*12+MONTH(C197)-MONTH('W Sites'!$F$7))=1,'W Assumptions'!$D$63,1))*INDEX('W Assumptions'!$D$7:$F$7,1,D197)*INDEX('W Assumptions'!$D$32:$F$32,1,D197)</f>
        <v>5500</v>
      </c>
      <c r="L197" s="81" t="n">
        <f aca="false">SUM(I197:K197)</f>
        <v>88051.3652173913</v>
      </c>
      <c r="M197" s="81" t="n">
        <f aca="false">'W Site Costs'!$I$7*F197*INDEX('W Assumptions'!$D$34:$F$34,1,D197)*INDEX('W Assumptions'!$D$22:$F$22,1,D197)</f>
        <v>34072.5</v>
      </c>
      <c r="N197" s="81" t="n">
        <f aca="false">'W Site Costs'!$J$7*F197*INDEX('W Assumptions'!$D$35:$F$35,1,D197)*INDEX('W Assumptions'!$D$22:$F$22,1,D197)</f>
        <v>0</v>
      </c>
      <c r="O197" s="81" t="n">
        <f aca="false">L197*'W Site Costs'!$K$7</f>
        <v>13207.7047826087</v>
      </c>
      <c r="P197" s="81" t="n">
        <f aca="false">SUM('W Site Costs'!$L$7:$Q$7)*F197*INDEX('W Assumptions'!$D$35:$F$35,1,D197)*INDEX('W Assumptions'!$D$22:$F$22,1,D197)</f>
        <v>12168</v>
      </c>
      <c r="Q197" s="81" t="n">
        <f aca="false">L197*'W Site Costs'!$R$7*INDEX('W Assumptions'!$D$17:$F$17,1,D197)</f>
        <v>5283.08191304348</v>
      </c>
      <c r="R197" s="112" t="n">
        <f aca="false">L197*'W Sites'!$M$7</f>
        <v>0</v>
      </c>
      <c r="S197" s="81" t="n">
        <f aca="false">SUM(M197:R197)</f>
        <v>64731.2866956522</v>
      </c>
      <c r="T197" s="81" t="n">
        <f aca="false">L197-S197</f>
        <v>23320.0785217391</v>
      </c>
      <c r="U197" s="81" t="n">
        <f aca="false">IF(C197='W Budget &amp; Owners'!$I$7,'W Budget &amp; Owners'!$F$7*'W Sites'!$G$7,0)</f>
        <v>0</v>
      </c>
      <c r="V197" s="81" t="n">
        <f aca="false">'W Sites'!$G$7*'W Budget &amp; Owners'!$E$7*INDEX('W Assumptions'!$D$27:$F$27,1,D197)*(IF(C197='W Budget &amp; Owners'!$I$7,'W Assumptions'!$D$65,0)+IF(C197=DATE(YEAR('W Sites'!$F$7),MONTH('W Sites'!$F$7),1),1-'W Assumptions'!$D$65,0))+'W Sites'!$G$7*'W Budget &amp; Owners'!$E$7*IF(C197=DATE(2027,9,1),'W Assumptions'!$D$67,IF(C197=DATE(2028,9,1),'W Assumptions'!$D$69,0))</f>
        <v>0</v>
      </c>
      <c r="W197" s="81" t="n">
        <f aca="false">IF(((YEAR(C197)-YEAR('W Sites'!$F$7))*12+MONTH(C197)-MONTH('W Sites'!$F$7))&lt;'W Budget &amp; Owners'!$H$7,'W Budget &amp; Owners'!$E$7/'W Budget &amp; Owners'!$H$7*F197,0)+IF(C197&gt;=DATE(2027,9,1),'W Budget &amp; Owners'!$E$7*'W Assumptions'!$D$67/'W Budget &amp; Owners'!$H$7*F197,0)+IF(C197&gt;=DATE(2028,9,1),'W Budget &amp; Owners'!$E$7*'W Assumptions'!$D$69/'W Budget &amp; Owners'!$H$7*F197,0)</f>
        <v>1360</v>
      </c>
      <c r="X197" s="81" t="n">
        <f aca="false">IF(C197='W Budget &amp; Owners'!$I$7,'W Budget &amp; Owners'!$G$7*'W Sites'!$G$7,0)</f>
        <v>0</v>
      </c>
      <c r="Y197" s="112" t="n">
        <f aca="false">IF(SUM($G$196:$G$205)=0,0,'W Fees &amp; KPI'!$Q$25*G197/SUM($G$196:$G$205))</f>
        <v>4005.33884230073</v>
      </c>
      <c r="Z197" s="119" t="n">
        <f aca="false">IF(SUM($G$196:$G$205)=0,0,SUM('W Fees &amp; KPI'!$J$25,'W Fees &amp; KPI'!$M$25)*G197/SUM($G$196:$G$205))</f>
        <v>4611.25</v>
      </c>
      <c r="AA197" s="117" t="n">
        <f aca="false">T197-U197-Z197-Y197</f>
        <v>14703.4896794384</v>
      </c>
      <c r="AB197" s="119" t="n">
        <f aca="false">IF('W Fees &amp; KPI'!$D$25=0,0,T197-U197-Z197)</f>
        <v>18708.8285217391</v>
      </c>
    </row>
    <row r="198" customFormat="false" ht="21" hidden="false" customHeight="true" outlineLevel="0" collapsed="false">
      <c r="C198" s="144" t="n">
        <f aca="false">46844</f>
        <v>46844</v>
      </c>
      <c r="D198" s="81" t="n">
        <f aca="false">2</f>
        <v>2</v>
      </c>
      <c r="E198" s="81" t="str">
        <f aca="false">'W Sites'!C8</f>
        <v>S03</v>
      </c>
      <c r="F198" s="145" t="n">
        <f aca="false">'W Sites'!$G$8*MAX(0,EOMONTH(C198,0)-MAX(C198,'W Sites'!$F$8)+1)/DAY(EOMONTH(C198,0))</f>
        <v>1</v>
      </c>
      <c r="G198" s="145" t="n">
        <f aca="false">'W Sites'!$G$8*MAX(0,EOMONTH(C198,0)-MAX(C198,'W Sites'!$F$8,'W Assumptions'!$D$58)+1)/DAY(EOMONTH(C198,0))</f>
        <v>1</v>
      </c>
      <c r="H198" s="81" t="n">
        <f aca="false">'W Sites'!$H$8*F198*'W Sites'!$I$8*IF(((YEAR(C198)-YEAR('W Sites'!$F$8))*12+MONTH(C198)-MONTH('W Sites'!$F$8))=0,'W Assumptions'!$D$62,IF(((YEAR(C198)-YEAR('W Sites'!$F$8))*12+MONTH(C198)-MONTH('W Sites'!$F$8))=1,'W Assumptions'!$D$63,1))*INDEX('W Assumptions'!$D$7:$F$7,1,D198)*INDEX('W Assumptions'!$D$32:$F$32,1,D198)*INDEX('W Assumptions'!$D$80:$D$91,MONTH(C198),1)/AVERAGE('W Assumptions'!$D$80:$D$91)</f>
        <v>3275.13698630137</v>
      </c>
      <c r="I198" s="81" t="n">
        <f aca="false">H198*'W Sites'!$J$8/(1+'W Assumptions'!$D$39)*INDEX('W Assumptions'!$D$12:$F$12,1,D198)*INDEX('W Assumptions'!$D$33:$F$33,1,D198)</f>
        <v>190669.931506849</v>
      </c>
      <c r="J198" s="81" t="n">
        <f aca="false">H198*'W Sites'!$K$8/(1+'W Assumptions'!$D$39)*INDEX('W Assumptions'!$D$12:$F$12,1,D198)*INDEX('W Assumptions'!$D$33:$F$33,1,D198)</f>
        <v>23467.0684931507</v>
      </c>
      <c r="K198" s="81" t="n">
        <f aca="false">'W Sites'!$L$8*F198*IF(((YEAR(C198)-YEAR('W Sites'!$F$8))*12+MONTH(C198)-MONTH('W Sites'!$F$8))=0,'W Assumptions'!$D$62,IF(((YEAR(C198)-YEAR('W Sites'!$F$8))*12+MONTH(C198)-MONTH('W Sites'!$F$8))=1,'W Assumptions'!$D$63,1))*INDEX('W Assumptions'!$D$7:$F$7,1,D198)*INDEX('W Assumptions'!$D$32:$F$32,1,D198)</f>
        <v>22000</v>
      </c>
      <c r="L198" s="81" t="n">
        <f aca="false">SUM(I198:K198)</f>
        <v>236137</v>
      </c>
      <c r="M198" s="81" t="n">
        <f aca="false">'W Site Costs'!$I$8*F198*INDEX('W Assumptions'!$D$34:$F$34,1,D198)*INDEX('W Assumptions'!$D$22:$F$22,1,D198)</f>
        <v>50427.3</v>
      </c>
      <c r="N198" s="81" t="n">
        <f aca="false">'W Site Costs'!$J$8*F198*INDEX('W Assumptions'!$D$35:$F$35,1,D198)*INDEX('W Assumptions'!$D$22:$F$22,1,D198)</f>
        <v>36400</v>
      </c>
      <c r="O198" s="81" t="n">
        <f aca="false">L198*'W Site Costs'!$K$8</f>
        <v>0</v>
      </c>
      <c r="P198" s="81" t="n">
        <f aca="false">SUM('W Site Costs'!$L$8:$Q$8)*F198*INDEX('W Assumptions'!$D$35:$F$35,1,D198)*INDEX('W Assumptions'!$D$22:$F$22,1,D198)</f>
        <v>20280</v>
      </c>
      <c r="Q198" s="81" t="n">
        <f aca="false">L198*'W Site Costs'!$R$8*INDEX('W Assumptions'!$D$17:$F$17,1,D198)</f>
        <v>18890.96</v>
      </c>
      <c r="R198" s="112" t="n">
        <f aca="false">L198*'W Sites'!$M$8</f>
        <v>0</v>
      </c>
      <c r="S198" s="81" t="n">
        <f aca="false">SUM(M198:R198)</f>
        <v>125998.26</v>
      </c>
      <c r="T198" s="81" t="n">
        <f aca="false">L198-S198</f>
        <v>110138.74</v>
      </c>
      <c r="U198" s="81" t="n">
        <f aca="false">IF(C198='W Budget &amp; Owners'!$I$8,'W Budget &amp; Owners'!$F$8*'W Sites'!$G$8,0)</f>
        <v>0</v>
      </c>
      <c r="V198" s="81" t="n">
        <f aca="false">'W Sites'!$G$8*'W Budget &amp; Owners'!$E$8*INDEX('W Assumptions'!$D$27:$F$27,1,D198)*(IF(C198='W Budget &amp; Owners'!$I$8,'W Assumptions'!$D$65,0)+IF(C198=DATE(YEAR('W Sites'!$F$8),MONTH('W Sites'!$F$8),1),1-'W Assumptions'!$D$65,0))+'W Sites'!$G$8*'W Budget &amp; Owners'!$E$8*IF(C198=DATE(2027,9,1),'W Assumptions'!$D$67,IF(C198=DATE(2028,9,1),'W Assumptions'!$D$69,0))</f>
        <v>0</v>
      </c>
      <c r="W198" s="81" t="n">
        <f aca="false">IF(((YEAR(C198)-YEAR('W Sites'!$F$8))*12+MONTH(C198)-MONTH('W Sites'!$F$8))&lt;'W Budget &amp; Owners'!$H$8,'W Budget &amp; Owners'!$E$8/'W Budget &amp; Owners'!$H$8*F198,0)+IF(C198&gt;=DATE(2027,9,1),'W Budget &amp; Owners'!$E$8*'W Assumptions'!$D$67/'W Budget &amp; Owners'!$H$8*F198,0)+IF(C198&gt;=DATE(2028,9,1),'W Budget &amp; Owners'!$E$8*'W Assumptions'!$D$69/'W Budget &amp; Owners'!$H$8*F198,0)</f>
        <v>10200</v>
      </c>
      <c r="X198" s="81" t="n">
        <f aca="false">IF(C198='W Budget &amp; Owners'!$I$8,'W Budget &amp; Owners'!$G$8*'W Sites'!$G$8,0)</f>
        <v>0</v>
      </c>
      <c r="Y198" s="112" t="n">
        <f aca="false">IF(SUM($G$196:$G$205)=0,0,'W Fees &amp; KPI'!$Q$25*G198/SUM($G$196:$G$205))</f>
        <v>4005.33884230073</v>
      </c>
      <c r="Z198" s="119" t="n">
        <f aca="false">IF(SUM($G$196:$G$205)=0,0,SUM('W Fees &amp; KPI'!$J$25,'W Fees &amp; KPI'!$M$25)*G198/SUM($G$196:$G$205))</f>
        <v>4611.25</v>
      </c>
      <c r="AA198" s="117" t="n">
        <f aca="false">T198-U198-Z198-Y198</f>
        <v>101522.151157699</v>
      </c>
      <c r="AB198" s="119" t="n">
        <f aca="false">IF('W Fees &amp; KPI'!$D$25=0,0,T198-U198-Z198)</f>
        <v>105527.49</v>
      </c>
    </row>
    <row r="199" customFormat="false" ht="21" hidden="false" customHeight="true" outlineLevel="0" collapsed="false">
      <c r="C199" s="144" t="n">
        <f aca="false">46844</f>
        <v>46844</v>
      </c>
      <c r="D199" s="81" t="n">
        <f aca="false">2</f>
        <v>2</v>
      </c>
      <c r="E199" s="81" t="str">
        <f aca="false">'W Sites'!C9</f>
        <v>S04</v>
      </c>
      <c r="F199" s="145" t="n">
        <f aca="false">'W Sites'!$G$9*MAX(0,EOMONTH(C199,0)-MAX(C199,'W Sites'!$F$9)+1)/DAY(EOMONTH(C199,0))</f>
        <v>1</v>
      </c>
      <c r="G199" s="145" t="n">
        <f aca="false">'W Sites'!$G$9*MAX(0,EOMONTH(C199,0)-MAX(C199,'W Sites'!$F$9,'W Assumptions'!$D$58)+1)/DAY(EOMONTH(C199,0))</f>
        <v>1</v>
      </c>
      <c r="H199" s="81" t="n">
        <f aca="false">'W Sites'!$H$9*F199*'W Sites'!$I$9*IF(((YEAR(C199)-YEAR('W Sites'!$F$9))*12+MONTH(C199)-MONTH('W Sites'!$F$9))=0,'W Assumptions'!$D$62,IF(((YEAR(C199)-YEAR('W Sites'!$F$9))*12+MONTH(C199)-MONTH('W Sites'!$F$9))=1,'W Assumptions'!$D$63,1))*INDEX('W Assumptions'!$D$7:$F$7,1,D199)*INDEX('W Assumptions'!$D$32:$F$32,1,D199)*INDEX('W Assumptions'!$D$80:$D$91,MONTH(C199),1)/AVERAGE('W Assumptions'!$D$80:$D$91)</f>
        <v>2305.98958333333</v>
      </c>
      <c r="I199" s="81" t="n">
        <f aca="false">H199*'W Sites'!$J$9/(1+'W Assumptions'!$D$39)*INDEX('W Assumptions'!$D$12:$F$12,1,D199)*INDEX('W Assumptions'!$D$33:$F$33,1,D199)</f>
        <v>134248.697916667</v>
      </c>
      <c r="J199" s="81" t="n">
        <f aca="false">H199*'W Sites'!$K$9/(1+'W Assumptions'!$D$39)*INDEX('W Assumptions'!$D$12:$F$12,1,D199)*INDEX('W Assumptions'!$D$33:$F$33,1,D199)</f>
        <v>14457.5520833333</v>
      </c>
      <c r="K199" s="81" t="n">
        <f aca="false">'W Sites'!$L$9*F199*IF(((YEAR(C199)-YEAR('W Sites'!$F$9))*12+MONTH(C199)-MONTH('W Sites'!$F$9))=0,'W Assumptions'!$D$62,IF(((YEAR(C199)-YEAR('W Sites'!$F$9))*12+MONTH(C199)-MONTH('W Sites'!$F$9))=1,'W Assumptions'!$D$63,1))*INDEX('W Assumptions'!$D$7:$F$7,1,D199)*INDEX('W Assumptions'!$D$32:$F$32,1,D199)</f>
        <v>16500</v>
      </c>
      <c r="L199" s="81" t="n">
        <f aca="false">SUM(I199:K199)</f>
        <v>165206.25</v>
      </c>
      <c r="M199" s="81" t="n">
        <f aca="false">'W Site Costs'!$I$9*F199*INDEX('W Assumptions'!$D$34:$F$34,1,D199)*INDEX('W Assumptions'!$D$22:$F$22,1,D199)</f>
        <v>39648</v>
      </c>
      <c r="N199" s="81" t="n">
        <f aca="false">'W Site Costs'!$J$9*F199*INDEX('W Assumptions'!$D$35:$F$35,1,D199)*INDEX('W Assumptions'!$D$22:$F$22,1,D199)</f>
        <v>22880</v>
      </c>
      <c r="O199" s="81" t="n">
        <f aca="false">L199*'W Site Costs'!$K$9</f>
        <v>0</v>
      </c>
      <c r="P199" s="81" t="n">
        <f aca="false">SUM('W Site Costs'!$L$9:$Q$9)*F199*INDEX('W Assumptions'!$D$35:$F$35,1,D199)*INDEX('W Assumptions'!$D$22:$F$22,1,D199)</f>
        <v>16120</v>
      </c>
      <c r="Q199" s="81" t="n">
        <f aca="false">L199*'W Site Costs'!$R$9*INDEX('W Assumptions'!$D$17:$F$17,1,D199)</f>
        <v>13216.5</v>
      </c>
      <c r="R199" s="112" t="n">
        <f aca="false">L199*'W Sites'!$M$9</f>
        <v>0</v>
      </c>
      <c r="S199" s="81" t="n">
        <f aca="false">SUM(M199:R199)</f>
        <v>91864.5</v>
      </c>
      <c r="T199" s="81" t="n">
        <f aca="false">L199-S199</f>
        <v>73341.7500000001</v>
      </c>
      <c r="U199" s="81" t="n">
        <f aca="false">IF(C199='W Budget &amp; Owners'!$I$9,'W Budget &amp; Owners'!$F$9*'W Sites'!$G$9,0)</f>
        <v>0</v>
      </c>
      <c r="V199" s="81" t="n">
        <f aca="false">'W Sites'!$G$9*'W Budget &amp; Owners'!$E$9*INDEX('W Assumptions'!$D$27:$F$27,1,D199)*(IF(C199='W Budget &amp; Owners'!$I$9,'W Assumptions'!$D$65,0)+IF(C199=DATE(YEAR('W Sites'!$F$9),MONTH('W Sites'!$F$9),1),1-'W Assumptions'!$D$65,0))+'W Sites'!$G$9*'W Budget &amp; Owners'!$E$9*IF(C199=DATE(2027,9,1),'W Assumptions'!$D$67,IF(C199=DATE(2028,9,1),'W Assumptions'!$D$69,0))</f>
        <v>0</v>
      </c>
      <c r="W199" s="81" t="n">
        <f aca="false">IF(((YEAR(C199)-YEAR('W Sites'!$F$9))*12+MONTH(C199)-MONTH('W Sites'!$F$9))&lt;'W Budget &amp; Owners'!$H$9,'W Budget &amp; Owners'!$E$9/'W Budget &amp; Owners'!$H$9*F199,0)+IF(C199&gt;=DATE(2027,9,1),'W Budget &amp; Owners'!$E$9*'W Assumptions'!$D$67/'W Budget &amp; Owners'!$H$9*F199,0)+IF(C199&gt;=DATE(2028,9,1),'W Budget &amp; Owners'!$E$9*'W Assumptions'!$D$69/'W Budget &amp; Owners'!$H$9*F199,0)</f>
        <v>8500</v>
      </c>
      <c r="X199" s="81" t="n">
        <f aca="false">IF(C199='W Budget &amp; Owners'!$I$9,'W Budget &amp; Owners'!$G$9*'W Sites'!$G$9,0)</f>
        <v>0</v>
      </c>
      <c r="Y199" s="112" t="n">
        <f aca="false">IF(SUM($G$196:$G$205)=0,0,'W Fees &amp; KPI'!$Q$25*G199/SUM($G$196:$G$205))</f>
        <v>4005.33884230073</v>
      </c>
      <c r="Z199" s="119" t="n">
        <f aca="false">IF(SUM($G$196:$G$205)=0,0,SUM('W Fees &amp; KPI'!$J$25,'W Fees &amp; KPI'!$M$25)*G199/SUM($G$196:$G$205))</f>
        <v>4611.25</v>
      </c>
      <c r="AA199" s="117" t="n">
        <f aca="false">T199-U199-Z199-Y199</f>
        <v>64725.1611576993</v>
      </c>
      <c r="AB199" s="119" t="n">
        <f aca="false">IF('W Fees &amp; KPI'!$D$25=0,0,T199-U199-Z199)</f>
        <v>68730.5000000001</v>
      </c>
    </row>
    <row r="200" customFormat="false" ht="21" hidden="false" customHeight="true" outlineLevel="0" collapsed="false">
      <c r="C200" s="144" t="n">
        <f aca="false">46844</f>
        <v>46844</v>
      </c>
      <c r="D200" s="81" t="n">
        <f aca="false">2</f>
        <v>2</v>
      </c>
      <c r="E200" s="81" t="str">
        <f aca="false">'W Sites'!C10</f>
        <v>S05</v>
      </c>
      <c r="F200" s="145" t="n">
        <f aca="false">'W Sites'!$G$10*MAX(0,EOMONTH(C200,0)-MAX(C200,'W Sites'!$F$10)+1)/DAY(EOMONTH(C200,0))</f>
        <v>1</v>
      </c>
      <c r="G200" s="145" t="n">
        <f aca="false">'W Sites'!$G$10*MAX(0,EOMONTH(C200,0)-MAX(C200,'W Sites'!$F$10,'W Assumptions'!$D$58)+1)/DAY(EOMONTH(C200,0))</f>
        <v>1</v>
      </c>
      <c r="H200" s="81" t="n">
        <f aca="false">'W Sites'!$H$10*F200*'W Sites'!$I$10*IF(((YEAR(C200)-YEAR('W Sites'!$F$10))*12+MONTH(C200)-MONTH('W Sites'!$F$10))=0,'W Assumptions'!$D$62,IF(((YEAR(C200)-YEAR('W Sites'!$F$10))*12+MONTH(C200)-MONTH('W Sites'!$F$10))=1,'W Assumptions'!$D$63,1))*INDEX('W Assumptions'!$D$7:$F$7,1,D200)*INDEX('W Assumptions'!$D$32:$F$32,1,D200)*INDEX('W Assumptions'!$D$80:$D$91,MONTH(C200),1)/AVERAGE('W Assumptions'!$D$80:$D$91)</f>
        <v>2947.62328767123</v>
      </c>
      <c r="I200" s="81" t="n">
        <f aca="false">H200*'W Sites'!$J$10/(1+'W Assumptions'!$D$39)*INDEX('W Assumptions'!$D$12:$F$12,1,D200)*INDEX('W Assumptions'!$D$33:$F$33,1,D200)</f>
        <v>171602.938356164</v>
      </c>
      <c r="J200" s="81" t="n">
        <f aca="false">H200*'W Sites'!$K$10/(1+'W Assumptions'!$D$39)*INDEX('W Assumptions'!$D$12:$F$12,1,D200)*INDEX('W Assumptions'!$D$33:$F$33,1,D200)</f>
        <v>21120.3616438356</v>
      </c>
      <c r="K200" s="81" t="n">
        <f aca="false">'W Sites'!$L$10*F200*IF(((YEAR(C200)-YEAR('W Sites'!$F$10))*12+MONTH(C200)-MONTH('W Sites'!$F$10))=0,'W Assumptions'!$D$62,IF(((YEAR(C200)-YEAR('W Sites'!$F$10))*12+MONTH(C200)-MONTH('W Sites'!$F$10))=1,'W Assumptions'!$D$63,1))*INDEX('W Assumptions'!$D$7:$F$7,1,D200)*INDEX('W Assumptions'!$D$32:$F$32,1,D200)</f>
        <v>19800</v>
      </c>
      <c r="L200" s="81" t="n">
        <f aca="false">SUM(I200:K200)</f>
        <v>212523.3</v>
      </c>
      <c r="M200" s="81" t="n">
        <f aca="false">'W Site Costs'!$I$10*F200*INDEX('W Assumptions'!$D$34:$F$34,1,D200)*INDEX('W Assumptions'!$D$22:$F$22,1,D200)</f>
        <v>50427.3</v>
      </c>
      <c r="N200" s="81" t="n">
        <f aca="false">'W Site Costs'!$J$10*F200*INDEX('W Assumptions'!$D$35:$F$35,1,D200)*INDEX('W Assumptions'!$D$22:$F$22,1,D200)</f>
        <v>31200</v>
      </c>
      <c r="O200" s="81" t="n">
        <f aca="false">L200*'W Site Costs'!$K$10</f>
        <v>0</v>
      </c>
      <c r="P200" s="81" t="n">
        <f aca="false">SUM('W Site Costs'!$L$10:$Q$10)*F200*INDEX('W Assumptions'!$D$35:$F$35,1,D200)*INDEX('W Assumptions'!$D$22:$F$22,1,D200)</f>
        <v>19760</v>
      </c>
      <c r="Q200" s="81" t="n">
        <f aca="false">L200*'W Site Costs'!$R$10*INDEX('W Assumptions'!$D$17:$F$17,1,D200)</f>
        <v>17001.864</v>
      </c>
      <c r="R200" s="112" t="n">
        <f aca="false">L200*'W Sites'!$M$10</f>
        <v>0</v>
      </c>
      <c r="S200" s="81" t="n">
        <f aca="false">SUM(M200:R200)</f>
        <v>118389.164</v>
      </c>
      <c r="T200" s="81" t="n">
        <f aca="false">L200-S200</f>
        <v>94134.136</v>
      </c>
      <c r="U200" s="81" t="n">
        <f aca="false">IF(C200='W Budget &amp; Owners'!$I$10,'W Budget &amp; Owners'!$F$10*'W Sites'!$G$10,0)</f>
        <v>0</v>
      </c>
      <c r="V200" s="81" t="n">
        <f aca="false">'W Sites'!$G$10*'W Budget &amp; Owners'!$E$10*INDEX('W Assumptions'!$D$27:$F$27,1,D200)*(IF(C200='W Budget &amp; Owners'!$I$10,'W Assumptions'!$D$65,0)+IF(C200=DATE(YEAR('W Sites'!$F$10),MONTH('W Sites'!$F$10),1),1-'W Assumptions'!$D$65,0))+'W Sites'!$G$10*'W Budget &amp; Owners'!$E$10*IF(C200=DATE(2027,9,1),'W Assumptions'!$D$67,IF(C200=DATE(2028,9,1),'W Assumptions'!$D$69,0))</f>
        <v>0</v>
      </c>
      <c r="W200" s="81" t="n">
        <f aca="false">IF(((YEAR(C200)-YEAR('W Sites'!$F$10))*12+MONTH(C200)-MONTH('W Sites'!$F$10))&lt;'W Budget &amp; Owners'!$H$10,'W Budget &amp; Owners'!$E$10/'W Budget &amp; Owners'!$H$10*F200,0)+IF(C200&gt;=DATE(2027,9,1),'W Budget &amp; Owners'!$E$10*'W Assumptions'!$D$67/'W Budget &amp; Owners'!$H$10*F200,0)+IF(C200&gt;=DATE(2028,9,1),'W Budget &amp; Owners'!$E$10*'W Assumptions'!$D$69/'W Budget &amp; Owners'!$H$10*F200,0)</f>
        <v>12750</v>
      </c>
      <c r="X200" s="81" t="n">
        <f aca="false">IF(C200='W Budget &amp; Owners'!$I$10,'W Budget &amp; Owners'!$G$10*'W Sites'!$G$10,0)</f>
        <v>0</v>
      </c>
      <c r="Y200" s="112" t="n">
        <f aca="false">IF(SUM($G$196:$G$205)=0,0,'W Fees &amp; KPI'!$Q$25*G200/SUM($G$196:$G$205))</f>
        <v>4005.33884230073</v>
      </c>
      <c r="Z200" s="119" t="n">
        <f aca="false">IF(SUM($G$196:$G$205)=0,0,SUM('W Fees &amp; KPI'!$J$25,'W Fees &amp; KPI'!$M$25)*G200/SUM($G$196:$G$205))</f>
        <v>4611.25</v>
      </c>
      <c r="AA200" s="117" t="n">
        <f aca="false">T200-U200-Z200-Y200</f>
        <v>85517.5471576993</v>
      </c>
      <c r="AB200" s="119" t="n">
        <f aca="false">IF('W Fees &amp; KPI'!$D$25=0,0,T200-U200-Z200)</f>
        <v>89522.886</v>
      </c>
    </row>
    <row r="201" customFormat="false" ht="21" hidden="false" customHeight="true" outlineLevel="0" collapsed="false">
      <c r="C201" s="144" t="n">
        <f aca="false">46844</f>
        <v>46844</v>
      </c>
      <c r="D201" s="81" t="n">
        <f aca="false">2</f>
        <v>2</v>
      </c>
      <c r="E201" s="81" t="str">
        <f aca="false">'W Sites'!C11</f>
        <v>S06</v>
      </c>
      <c r="F201" s="145" t="n">
        <f aca="false">'W Sites'!$G$11*MAX(0,EOMONTH(C201,0)-MAX(C201,'W Sites'!$F$11)+1)/DAY(EOMONTH(C201,0))</f>
        <v>1</v>
      </c>
      <c r="G201" s="145" t="n">
        <f aca="false">'W Sites'!$G$11*MAX(0,EOMONTH(C201,0)-MAX(C201,'W Sites'!$F$11,'W Assumptions'!$D$58)+1)/DAY(EOMONTH(C201,0))</f>
        <v>1</v>
      </c>
      <c r="H201" s="81" t="n">
        <f aca="false">'W Sites'!$H$11*F201*'W Sites'!$I$11*IF(((YEAR(C201)-YEAR('W Sites'!$F$11))*12+MONTH(C201)-MONTH('W Sites'!$F$11))=0,'W Assumptions'!$D$62,IF(((YEAR(C201)-YEAR('W Sites'!$F$11))*12+MONTH(C201)-MONTH('W Sites'!$F$11))=1,'W Assumptions'!$D$63,1))*INDEX('W Assumptions'!$D$7:$F$7,1,D201)*INDEX('W Assumptions'!$D$32:$F$32,1,D201)*INDEX('W Assumptions'!$D$80:$D$91,MONTH(C201),1)/AVERAGE('W Assumptions'!$D$80:$D$91)</f>
        <v>900.9</v>
      </c>
      <c r="I201" s="81" t="n">
        <f aca="false">H201*'W Sites'!$J$11/(1+'W Assumptions'!$D$39)*INDEX('W Assumptions'!$D$12:$F$12,1,D201)*INDEX('W Assumptions'!$D$33:$F$33,1,D201)</f>
        <v>48413.5826086957</v>
      </c>
      <c r="J201" s="81" t="n">
        <f aca="false">H201*'W Sites'!$K$11/(1+'W Assumptions'!$D$39)*INDEX('W Assumptions'!$D$12:$F$12,1,D201)*INDEX('W Assumptions'!$D$33:$F$33,1,D201)</f>
        <v>2420.67913043478</v>
      </c>
      <c r="K201" s="81" t="n">
        <f aca="false">'W Sites'!$L$11*F201*IF(((YEAR(C201)-YEAR('W Sites'!$F$11))*12+MONTH(C201)-MONTH('W Sites'!$F$11))=0,'W Assumptions'!$D$62,IF(((YEAR(C201)-YEAR('W Sites'!$F$11))*12+MONTH(C201)-MONTH('W Sites'!$F$11))=1,'W Assumptions'!$D$63,1))*INDEX('W Assumptions'!$D$7:$F$7,1,D201)*INDEX('W Assumptions'!$D$32:$F$32,1,D201)</f>
        <v>22000</v>
      </c>
      <c r="L201" s="81" t="n">
        <f aca="false">SUM(I201:K201)</f>
        <v>72834.2617391305</v>
      </c>
      <c r="M201" s="81" t="n">
        <f aca="false">'W Site Costs'!$I$11*F201*INDEX('W Assumptions'!$D$34:$F$34,1,D201)*INDEX('W Assumptions'!$D$22:$F$22,1,D201)</f>
        <v>25027.8</v>
      </c>
      <c r="N201" s="81" t="n">
        <f aca="false">'W Site Costs'!$J$11*F201*INDEX('W Assumptions'!$D$35:$F$35,1,D201)*INDEX('W Assumptions'!$D$22:$F$22,1,D201)</f>
        <v>5200</v>
      </c>
      <c r="O201" s="81" t="n">
        <f aca="false">L201*'W Site Costs'!$K$11</f>
        <v>0</v>
      </c>
      <c r="P201" s="81" t="n">
        <f aca="false">SUM('W Site Costs'!$L$11:$Q$11)*F201*INDEX('W Assumptions'!$D$35:$F$35,1,D201)*INDEX('W Assumptions'!$D$22:$F$22,1,D201)</f>
        <v>8320</v>
      </c>
      <c r="Q201" s="81" t="n">
        <f aca="false">L201*'W Site Costs'!$R$11*INDEX('W Assumptions'!$D$17:$F$17,1,D201)</f>
        <v>7283.42617391305</v>
      </c>
      <c r="R201" s="112" t="n">
        <f aca="false">L201*'W Sites'!$M$11</f>
        <v>0</v>
      </c>
      <c r="S201" s="81" t="n">
        <f aca="false">SUM(M201:R201)</f>
        <v>45831.2261739131</v>
      </c>
      <c r="T201" s="81" t="n">
        <f aca="false">L201-S201</f>
        <v>27003.0355652174</v>
      </c>
      <c r="U201" s="81" t="n">
        <f aca="false">IF(C201='W Budget &amp; Owners'!$I$11,'W Budget &amp; Owners'!$F$11*'W Sites'!$G$11,0)</f>
        <v>0</v>
      </c>
      <c r="V201" s="81" t="n">
        <f aca="false">'W Sites'!$G$11*'W Budget &amp; Owners'!$E$11*INDEX('W Assumptions'!$D$27:$F$27,1,D201)*(IF(C201='W Budget &amp; Owners'!$I$11,'W Assumptions'!$D$65,0)+IF(C201=DATE(YEAR('W Sites'!$F$11),MONTH('W Sites'!$F$11),1),1-'W Assumptions'!$D$65,0))+'W Sites'!$G$11*'W Budget &amp; Owners'!$E$11*IF(C201=DATE(2027,9,1),'W Assumptions'!$D$67,IF(C201=DATE(2028,9,1),'W Assumptions'!$D$69,0))</f>
        <v>0</v>
      </c>
      <c r="W201" s="81" t="n">
        <f aca="false">IF(((YEAR(C201)-YEAR('W Sites'!$F$11))*12+MONTH(C201)-MONTH('W Sites'!$F$11))&lt;'W Budget &amp; Owners'!$H$11,'W Budget &amp; Owners'!$E$11/'W Budget &amp; Owners'!$H$11*F201,0)+IF(C201&gt;=DATE(2027,9,1),'W Budget &amp; Owners'!$E$11*'W Assumptions'!$D$67/'W Budget &amp; Owners'!$H$11*F201,0)+IF(C201&gt;=DATE(2028,9,1),'W Budget &amp; Owners'!$E$11*'W Assumptions'!$D$69/'W Budget &amp; Owners'!$H$11*F201,0)</f>
        <v>2550</v>
      </c>
      <c r="X201" s="81" t="n">
        <f aca="false">IF(C201='W Budget &amp; Owners'!$I$11,'W Budget &amp; Owners'!$G$11*'W Sites'!$G$11,0)</f>
        <v>0</v>
      </c>
      <c r="Y201" s="112" t="n">
        <f aca="false">IF(SUM($G$196:$G$205)=0,0,'W Fees &amp; KPI'!$Q$25*G201/SUM($G$196:$G$205))</f>
        <v>4005.33884230073</v>
      </c>
      <c r="Z201" s="119" t="n">
        <f aca="false">IF(SUM($G$196:$G$205)=0,0,SUM('W Fees &amp; KPI'!$J$25,'W Fees &amp; KPI'!$M$25)*G201/SUM($G$196:$G$205))</f>
        <v>4611.25</v>
      </c>
      <c r="AA201" s="117" t="n">
        <f aca="false">T201-U201-Z201-Y201</f>
        <v>18386.4467229167</v>
      </c>
      <c r="AB201" s="119" t="n">
        <f aca="false">IF('W Fees &amp; KPI'!$D$25=0,0,T201-U201-Z201)</f>
        <v>22391.7855652174</v>
      </c>
    </row>
    <row r="202" customFormat="false" ht="21" hidden="false" customHeight="true" outlineLevel="0" collapsed="false">
      <c r="C202" s="144" t="n">
        <f aca="false">46844</f>
        <v>46844</v>
      </c>
      <c r="D202" s="81" t="n">
        <f aca="false">2</f>
        <v>2</v>
      </c>
      <c r="E202" s="81" t="str">
        <f aca="false">'W Sites'!C12</f>
        <v>S07</v>
      </c>
      <c r="F202" s="145" t="n">
        <f aca="false">'W Sites'!$G$12*MAX(0,EOMONTH(C202,0)-MAX(C202,'W Sites'!$F$12)+1)/DAY(EOMONTH(C202,0))</f>
        <v>1</v>
      </c>
      <c r="G202" s="145" t="n">
        <f aca="false">'W Sites'!$G$12*MAX(0,EOMONTH(C202,0)-MAX(C202,'W Sites'!$F$12,'W Assumptions'!$D$58)+1)/DAY(EOMONTH(C202,0))</f>
        <v>1</v>
      </c>
      <c r="H202" s="81" t="n">
        <f aca="false">'W Sites'!$H$12*F202*'W Sites'!$I$12*IF(((YEAR(C202)-YEAR('W Sites'!$F$12))*12+MONTH(C202)-MONTH('W Sites'!$F$12))=0,'W Assumptions'!$D$62,IF(((YEAR(C202)-YEAR('W Sites'!$F$12))*12+MONTH(C202)-MONTH('W Sites'!$F$12))=1,'W Assumptions'!$D$63,1))*INDEX('W Assumptions'!$D$7:$F$7,1,D202)*INDEX('W Assumptions'!$D$32:$F$32,1,D202)*INDEX('W Assumptions'!$D$80:$D$91,MONTH(C202),1)/AVERAGE('W Assumptions'!$D$80:$D$91)</f>
        <v>1051.05</v>
      </c>
      <c r="I202" s="81" t="n">
        <f aca="false">H202*'W Sites'!$J$12/(1+'W Assumptions'!$D$39)*INDEX('W Assumptions'!$D$12:$F$12,1,D202)*INDEX('W Assumptions'!$D$33:$F$33,1,D202)</f>
        <v>56482.5130434783</v>
      </c>
      <c r="J202" s="81" t="n">
        <f aca="false">H202*'W Sites'!$K$12/(1+'W Assumptions'!$D$39)*INDEX('W Assumptions'!$D$12:$F$12,1,D202)*INDEX('W Assumptions'!$D$33:$F$33,1,D202)</f>
        <v>2824.12565217391</v>
      </c>
      <c r="K202" s="81" t="n">
        <f aca="false">'W Sites'!$L$12*F202*IF(((YEAR(C202)-YEAR('W Sites'!$F$12))*12+MONTH(C202)-MONTH('W Sites'!$F$12))=0,'W Assumptions'!$D$62,IF(((YEAR(C202)-YEAR('W Sites'!$F$12))*12+MONTH(C202)-MONTH('W Sites'!$F$12))=1,'W Assumptions'!$D$63,1))*INDEX('W Assumptions'!$D$7:$F$7,1,D202)*INDEX('W Assumptions'!$D$32:$F$32,1,D202)</f>
        <v>19800</v>
      </c>
      <c r="L202" s="81" t="n">
        <f aca="false">SUM(I202:K202)</f>
        <v>79106.6386956522</v>
      </c>
      <c r="M202" s="81" t="n">
        <f aca="false">'W Site Costs'!$I$12*F202*INDEX('W Assumptions'!$D$34:$F$34,1,D202)*INDEX('W Assumptions'!$D$22:$F$22,1,D202)</f>
        <v>25027.8</v>
      </c>
      <c r="N202" s="81" t="n">
        <f aca="false">'W Site Costs'!$J$12*F202*INDEX('W Assumptions'!$D$35:$F$35,1,D202)*INDEX('W Assumptions'!$D$22:$F$22,1,D202)</f>
        <v>8320</v>
      </c>
      <c r="O202" s="81" t="n">
        <f aca="false">L202*'W Site Costs'!$K$12</f>
        <v>0</v>
      </c>
      <c r="P202" s="81" t="n">
        <f aca="false">SUM('W Site Costs'!$L$12:$Q$12)*F202*INDEX('W Assumptions'!$D$35:$F$35,1,D202)*INDEX('W Assumptions'!$D$22:$F$22,1,D202)</f>
        <v>8840</v>
      </c>
      <c r="Q202" s="81" t="n">
        <f aca="false">L202*'W Site Costs'!$R$12*INDEX('W Assumptions'!$D$17:$F$17,1,D202)</f>
        <v>7910.66386956522</v>
      </c>
      <c r="R202" s="112" t="n">
        <f aca="false">L202*'W Sites'!$M$12</f>
        <v>0</v>
      </c>
      <c r="S202" s="81" t="n">
        <f aca="false">SUM(M202:R202)</f>
        <v>50098.4638695652</v>
      </c>
      <c r="T202" s="81" t="n">
        <f aca="false">L202-S202</f>
        <v>29008.174826087</v>
      </c>
      <c r="U202" s="81" t="n">
        <f aca="false">IF(C202='W Budget &amp; Owners'!$I$12,'W Budget &amp; Owners'!$F$12*'W Sites'!$G$12,0)</f>
        <v>0</v>
      </c>
      <c r="V202" s="81" t="n">
        <f aca="false">'W Sites'!$G$12*'W Budget &amp; Owners'!$E$12*INDEX('W Assumptions'!$D$27:$F$27,1,D202)*(IF(C202='W Budget &amp; Owners'!$I$12,'W Assumptions'!$D$65,0)+IF(C202=DATE(YEAR('W Sites'!$F$12),MONTH('W Sites'!$F$12),1),1-'W Assumptions'!$D$65,0))+'W Sites'!$G$12*'W Budget &amp; Owners'!$E$12*IF(C202=DATE(2027,9,1),'W Assumptions'!$D$67,IF(C202=DATE(2028,9,1),'W Assumptions'!$D$69,0))</f>
        <v>0</v>
      </c>
      <c r="W202" s="81" t="n">
        <f aca="false">IF(((YEAR(C202)-YEAR('W Sites'!$F$12))*12+MONTH(C202)-MONTH('W Sites'!$F$12))&lt;'W Budget &amp; Owners'!$H$12,'W Budget &amp; Owners'!$E$12/'W Budget &amp; Owners'!$H$12*F202,0)+IF(C202&gt;=DATE(2027,9,1),'W Budget &amp; Owners'!$E$12*'W Assumptions'!$D$67/'W Budget &amp; Owners'!$H$12*F202,0)+IF(C202&gt;=DATE(2028,9,1),'W Budget &amp; Owners'!$E$12*'W Assumptions'!$D$69/'W Budget &amp; Owners'!$H$12*F202,0)</f>
        <v>7650</v>
      </c>
      <c r="X202" s="81" t="n">
        <f aca="false">IF(C202='W Budget &amp; Owners'!$I$12,'W Budget &amp; Owners'!$G$12*'W Sites'!$G$12,0)</f>
        <v>0</v>
      </c>
      <c r="Y202" s="112" t="n">
        <f aca="false">IF(SUM($G$196:$G$205)=0,0,'W Fees &amp; KPI'!$Q$25*G202/SUM($G$196:$G$205))</f>
        <v>4005.33884230073</v>
      </c>
      <c r="Z202" s="119" t="n">
        <f aca="false">IF(SUM($G$196:$G$205)=0,0,SUM('W Fees &amp; KPI'!$J$25,'W Fees &amp; KPI'!$M$25)*G202/SUM($G$196:$G$205))</f>
        <v>4611.25</v>
      </c>
      <c r="AA202" s="117" t="n">
        <f aca="false">T202-U202-Z202-Y202</f>
        <v>20391.5859837862</v>
      </c>
      <c r="AB202" s="119" t="n">
        <f aca="false">IF('W Fees &amp; KPI'!$D$25=0,0,T202-U202-Z202)</f>
        <v>24396.924826087</v>
      </c>
    </row>
    <row r="203" customFormat="false" ht="21" hidden="false" customHeight="true" outlineLevel="0" collapsed="false">
      <c r="C203" s="144" t="n">
        <f aca="false">46844</f>
        <v>46844</v>
      </c>
      <c r="D203" s="81" t="n">
        <f aca="false">2</f>
        <v>2</v>
      </c>
      <c r="E203" s="81" t="str">
        <f aca="false">'W Sites'!C13</f>
        <v>S08</v>
      </c>
      <c r="F203" s="145" t="n">
        <f aca="false">'W Sites'!$G$13*MAX(0,EOMONTH(C203,0)-MAX(C203,'W Sites'!$F$13)+1)/DAY(EOMONTH(C203,0))</f>
        <v>1</v>
      </c>
      <c r="G203" s="145" t="n">
        <f aca="false">'W Sites'!$G$13*MAX(0,EOMONTH(C203,0)-MAX(C203,'W Sites'!$F$13,'W Assumptions'!$D$58)+1)/DAY(EOMONTH(C203,0))</f>
        <v>1</v>
      </c>
      <c r="H203" s="81" t="n">
        <f aca="false">'W Sites'!$H$13*F203*'W Sites'!$I$13*IF(((YEAR(C203)-YEAR('W Sites'!$F$13))*12+MONTH(C203)-MONTH('W Sites'!$F$13))=0,'W Assumptions'!$D$62,IF(((YEAR(C203)-YEAR('W Sites'!$F$13))*12+MONTH(C203)-MONTH('W Sites'!$F$13))=1,'W Assumptions'!$D$63,1))*INDEX('W Assumptions'!$D$7:$F$7,1,D203)*INDEX('W Assumptions'!$D$32:$F$32,1,D203)*INDEX('W Assumptions'!$D$80:$D$91,MONTH(C203),1)/AVERAGE('W Assumptions'!$D$80:$D$91)</f>
        <v>4504.5</v>
      </c>
      <c r="I203" s="81" t="n">
        <f aca="false">H203*'W Sites'!$J$13/(1+'W Assumptions'!$D$39)*INDEX('W Assumptions'!$D$12:$F$12,1,D203)*INDEX('W Assumptions'!$D$33:$F$33,1,D203)</f>
        <v>161378.608695652</v>
      </c>
      <c r="J203" s="81" t="n">
        <f aca="false">H203*'W Sites'!$K$13/(1+'W Assumptions'!$D$39)*INDEX('W Assumptions'!$D$12:$F$12,1,D203)*INDEX('W Assumptions'!$D$33:$F$33,1,D203)</f>
        <v>20172.3260869565</v>
      </c>
      <c r="K203" s="81" t="n">
        <f aca="false">'W Sites'!$L$13*F203*IF(((YEAR(C203)-YEAR('W Sites'!$F$13))*12+MONTH(C203)-MONTH('W Sites'!$F$13))=0,'W Assumptions'!$D$62,IF(((YEAR(C203)-YEAR('W Sites'!$F$13))*12+MONTH(C203)-MONTH('W Sites'!$F$13))=1,'W Assumptions'!$D$63,1))*INDEX('W Assumptions'!$D$7:$F$7,1,D203)*INDEX('W Assumptions'!$D$32:$F$32,1,D203)</f>
        <v>16500</v>
      </c>
      <c r="L203" s="81" t="n">
        <f aca="false">SUM(I203:K203)</f>
        <v>198050.934782609</v>
      </c>
      <c r="M203" s="81" t="n">
        <f aca="false">'W Site Costs'!$I$13*F203*INDEX('W Assumptions'!$D$34:$F$34,1,D203)*INDEX('W Assumptions'!$D$22:$F$22,1,D203)</f>
        <v>56002.8</v>
      </c>
      <c r="N203" s="81" t="n">
        <f aca="false">'W Site Costs'!$J$13*F203*INDEX('W Assumptions'!$D$35:$F$35,1,D203)*INDEX('W Assumptions'!$D$22:$F$22,1,D203)</f>
        <v>0</v>
      </c>
      <c r="O203" s="81" t="n">
        <f aca="false">L203*'W Site Costs'!$K$13</f>
        <v>19805.0934782609</v>
      </c>
      <c r="P203" s="81" t="n">
        <f aca="false">SUM('W Site Costs'!$L$13:$Q$13)*F203*INDEX('W Assumptions'!$D$35:$F$35,1,D203)*INDEX('W Assumptions'!$D$22:$F$22,1,D203)</f>
        <v>26520</v>
      </c>
      <c r="Q203" s="81" t="n">
        <f aca="false">L203*'W Site Costs'!$R$13*INDEX('W Assumptions'!$D$17:$F$17,1,D203)</f>
        <v>15844.0747826087</v>
      </c>
      <c r="R203" s="112" t="n">
        <f aca="false">L203*'W Sites'!$M$13</f>
        <v>0</v>
      </c>
      <c r="S203" s="81" t="n">
        <f aca="false">SUM(M203:R203)</f>
        <v>118171.96826087</v>
      </c>
      <c r="T203" s="81" t="n">
        <f aca="false">L203-S203</f>
        <v>79878.9665217391</v>
      </c>
      <c r="U203" s="81" t="n">
        <f aca="false">IF(C203='W Budget &amp; Owners'!$I$13,'W Budget &amp; Owners'!$F$13*'W Sites'!$G$13,0)</f>
        <v>0</v>
      </c>
      <c r="V203" s="81" t="n">
        <f aca="false">'W Sites'!$G$13*'W Budget &amp; Owners'!$E$13*INDEX('W Assumptions'!$D$27:$F$27,1,D203)*(IF(C203='W Budget &amp; Owners'!$I$13,'W Assumptions'!$D$65,0)+IF(C203=DATE(YEAR('W Sites'!$F$13),MONTH('W Sites'!$F$13),1),1-'W Assumptions'!$D$65,0))+'W Sites'!$G$13*'W Budget &amp; Owners'!$E$13*IF(C203=DATE(2027,9,1),'W Assumptions'!$D$67,IF(C203=DATE(2028,9,1),'W Assumptions'!$D$69,0))</f>
        <v>0</v>
      </c>
      <c r="W203" s="81" t="n">
        <f aca="false">IF(((YEAR(C203)-YEAR('W Sites'!$F$13))*12+MONTH(C203)-MONTH('W Sites'!$F$13))&lt;'W Budget &amp; Owners'!$H$13,'W Budget &amp; Owners'!$E$13/'W Budget &amp; Owners'!$H$13*F203,0)+IF(C203&gt;=DATE(2027,9,1),'W Budget &amp; Owners'!$E$13*'W Assumptions'!$D$67/'W Budget &amp; Owners'!$H$13*F203,0)+IF(C203&gt;=DATE(2028,9,1),'W Budget &amp; Owners'!$E$13*'W Assumptions'!$D$69/'W Budget &amp; Owners'!$H$13*F203,0)</f>
        <v>20400</v>
      </c>
      <c r="X203" s="81" t="n">
        <f aca="false">IF(C203='W Budget &amp; Owners'!$I$13,'W Budget &amp; Owners'!$G$13*'W Sites'!$G$13,0)</f>
        <v>0</v>
      </c>
      <c r="Y203" s="112" t="n">
        <f aca="false">IF(SUM($G$196:$G$205)=0,0,'W Fees &amp; KPI'!$Q$25*G203/SUM($G$196:$G$205))</f>
        <v>4005.33884230073</v>
      </c>
      <c r="Z203" s="119" t="n">
        <f aca="false">IF(SUM($G$196:$G$205)=0,0,SUM('W Fees &amp; KPI'!$J$25,'W Fees &amp; KPI'!$M$25)*G203/SUM($G$196:$G$205))</f>
        <v>4611.25</v>
      </c>
      <c r="AA203" s="117" t="n">
        <f aca="false">T203-U203-Z203-Y203</f>
        <v>71262.3776794384</v>
      </c>
      <c r="AB203" s="119" t="n">
        <f aca="false">IF('W Fees &amp; KPI'!$D$25=0,0,T203-U203-Z203)</f>
        <v>75267.7165217391</v>
      </c>
    </row>
    <row r="204" customFormat="false" ht="21" hidden="false" customHeight="true" outlineLevel="0" collapsed="false">
      <c r="C204" s="144" t="n">
        <f aca="false">46844</f>
        <v>46844</v>
      </c>
      <c r="D204" s="81" t="n">
        <f aca="false">2</f>
        <v>2</v>
      </c>
      <c r="E204" s="81" t="str">
        <f aca="false">'W Sites'!C14</f>
        <v>S09</v>
      </c>
      <c r="F204" s="145" t="n">
        <f aca="false">'W Sites'!$G$14*MAX(0,EOMONTH(C204,0)-MAX(C204,'W Sites'!$F$14)+1)/DAY(EOMONTH(C204,0))</f>
        <v>0</v>
      </c>
      <c r="G204" s="145" t="n">
        <f aca="false">'W Sites'!$G$14*MAX(0,EOMONTH(C204,0)-MAX(C204,'W Sites'!$F$14,'W Assumptions'!$D$58)+1)/DAY(EOMONTH(C204,0))</f>
        <v>0</v>
      </c>
      <c r="H204" s="81" t="n">
        <f aca="false">'W Sites'!$H$14*F204*'W Sites'!$I$14*IF(((YEAR(C204)-YEAR('W Sites'!$F$14))*12+MONTH(C204)-MONTH('W Sites'!$F$14))=0,'W Assumptions'!$D$62,IF(((YEAR(C204)-YEAR('W Sites'!$F$14))*12+MONTH(C204)-MONTH('W Sites'!$F$14))=1,'W Assumptions'!$D$63,1))*INDEX('W Assumptions'!$D$7:$F$7,1,D204)*INDEX('W Assumptions'!$D$32:$F$32,1,D204)*INDEX('W Assumptions'!$D$80:$D$91,MONTH(C204),1)/AVERAGE('W Assumptions'!$D$80:$D$91)</f>
        <v>0</v>
      </c>
      <c r="I204" s="81" t="n">
        <f aca="false">H204*'W Sites'!$J$14/(1+'W Assumptions'!$D$39)*INDEX('W Assumptions'!$D$12:$F$12,1,D204)*INDEX('W Assumptions'!$D$33:$F$33,1,D204)</f>
        <v>0</v>
      </c>
      <c r="J204" s="81" t="n">
        <f aca="false">H204*'W Sites'!$K$14/(1+'W Assumptions'!$D$39)*INDEX('W Assumptions'!$D$12:$F$12,1,D204)*INDEX('W Assumptions'!$D$33:$F$33,1,D204)</f>
        <v>0</v>
      </c>
      <c r="K204" s="81" t="n">
        <f aca="false">'W Sites'!$L$14*F204*IF(((YEAR(C204)-YEAR('W Sites'!$F$14))*12+MONTH(C204)-MONTH('W Sites'!$F$14))=0,'W Assumptions'!$D$62,IF(((YEAR(C204)-YEAR('W Sites'!$F$14))*12+MONTH(C204)-MONTH('W Sites'!$F$14))=1,'W Assumptions'!$D$63,1))*INDEX('W Assumptions'!$D$7:$F$7,1,D204)*INDEX('W Assumptions'!$D$32:$F$32,1,D204)</f>
        <v>0</v>
      </c>
      <c r="L204" s="81" t="n">
        <f aca="false">SUM(I204:K204)</f>
        <v>0</v>
      </c>
      <c r="M204" s="81" t="n">
        <f aca="false">'W Site Costs'!$I$14*F204*INDEX('W Assumptions'!$D$34:$F$34,1,D204)*INDEX('W Assumptions'!$D$22:$F$22,1,D204)</f>
        <v>0</v>
      </c>
      <c r="N204" s="81" t="n">
        <f aca="false">'W Site Costs'!$J$14*F204*INDEX('W Assumptions'!$D$35:$F$35,1,D204)*INDEX('W Assumptions'!$D$22:$F$22,1,D204)</f>
        <v>0</v>
      </c>
      <c r="O204" s="81" t="n">
        <f aca="false">L204*'W Site Costs'!$K$14</f>
        <v>0</v>
      </c>
      <c r="P204" s="81" t="n">
        <f aca="false">SUM('W Site Costs'!$L$14:$Q$14)*F204*INDEX('W Assumptions'!$D$35:$F$35,1,D204)*INDEX('W Assumptions'!$D$22:$F$22,1,D204)</f>
        <v>0</v>
      </c>
      <c r="Q204" s="81" t="n">
        <f aca="false">L204*'W Site Costs'!$R$14*INDEX('W Assumptions'!$D$17:$F$17,1,D204)</f>
        <v>0</v>
      </c>
      <c r="R204" s="112" t="n">
        <f aca="false">L204*'W Sites'!$M$14</f>
        <v>0</v>
      </c>
      <c r="S204" s="81" t="n">
        <f aca="false">SUM(M204:R204)</f>
        <v>0</v>
      </c>
      <c r="T204" s="81" t="n">
        <f aca="false">L204-S204</f>
        <v>0</v>
      </c>
      <c r="U204" s="81" t="n">
        <f aca="false">IF(C204='W Budget &amp; Owners'!$I$14,'W Budget &amp; Owners'!$F$14*'W Sites'!$G$14,0)</f>
        <v>0</v>
      </c>
      <c r="V204" s="81" t="n">
        <f aca="false">'W Sites'!$G$14*'W Budget &amp; Owners'!$E$14*INDEX('W Assumptions'!$D$27:$F$27,1,D204)*(IF(C204='W Budget &amp; Owners'!$I$14,'W Assumptions'!$D$65,0)+IF(C204=DATE(YEAR('W Sites'!$F$14),MONTH('W Sites'!$F$14),1),1-'W Assumptions'!$D$65,0))+'W Sites'!$G$14*'W Budget &amp; Owners'!$E$14*IF(C204=DATE(2027,9,1),'W Assumptions'!$D$67,IF(C204=DATE(2028,9,1),'W Assumptions'!$D$69,0))</f>
        <v>0</v>
      </c>
      <c r="W204" s="81" t="n">
        <f aca="false">IF(((YEAR(C204)-YEAR('W Sites'!$F$14))*12+MONTH(C204)-MONTH('W Sites'!$F$14))&lt;'W Budget &amp; Owners'!$H$14,'W Budget &amp; Owners'!$E$14/'W Budget &amp; Owners'!$H$14*F204,0)+IF(C204&gt;=DATE(2027,9,1),'W Budget &amp; Owners'!$E$14*'W Assumptions'!$D$67/'W Budget &amp; Owners'!$H$14*F204,0)+IF(C204&gt;=DATE(2028,9,1),'W Budget &amp; Owners'!$E$14*'W Assumptions'!$D$69/'W Budget &amp; Owners'!$H$14*F204,0)</f>
        <v>0</v>
      </c>
      <c r="X204" s="81" t="n">
        <f aca="false">IF(C204='W Budget &amp; Owners'!$I$14,'W Budget &amp; Owners'!$G$14*'W Sites'!$G$14,0)</f>
        <v>0</v>
      </c>
      <c r="Y204" s="112" t="n">
        <f aca="false">IF(SUM($G$196:$G$205)=0,0,'W Fees &amp; KPI'!$Q$25*G204/SUM($G$196:$G$205))</f>
        <v>0</v>
      </c>
      <c r="Z204" s="119" t="n">
        <f aca="false">IF(SUM($G$196:$G$205)=0,0,SUM('W Fees &amp; KPI'!$J$25,'W Fees &amp; KPI'!$M$25)*G204/SUM($G$196:$G$205))</f>
        <v>0</v>
      </c>
      <c r="AA204" s="117" t="n">
        <f aca="false">T204-U204-Z204-Y204</f>
        <v>0</v>
      </c>
      <c r="AB204" s="119" t="n">
        <f aca="false">IF('W Fees &amp; KPI'!$D$25=0,0,T204-U204-Z204)</f>
        <v>0</v>
      </c>
    </row>
    <row r="205" customFormat="false" ht="21" hidden="false" customHeight="true" outlineLevel="0" collapsed="false">
      <c r="C205" s="144" t="n">
        <f aca="false">46844</f>
        <v>46844</v>
      </c>
      <c r="D205" s="81" t="n">
        <f aca="false">2</f>
        <v>2</v>
      </c>
      <c r="E205" s="81" t="str">
        <f aca="false">'W Sites'!C15</f>
        <v>S10</v>
      </c>
      <c r="F205" s="145" t="n">
        <f aca="false">'W Sites'!$G$15*MAX(0,EOMONTH(C205,0)-MAX(C205,'W Sites'!$F$15)+1)/DAY(EOMONTH(C205,0))</f>
        <v>0</v>
      </c>
      <c r="G205" s="145" t="n">
        <f aca="false">'W Sites'!$G$15*MAX(0,EOMONTH(C205,0)-MAX(C205,'W Sites'!$F$15,'W Assumptions'!$D$58)+1)/DAY(EOMONTH(C205,0))</f>
        <v>0</v>
      </c>
      <c r="H205" s="81" t="n">
        <f aca="false">'W Sites'!$H$15*F205*'W Sites'!$I$15*IF(((YEAR(C205)-YEAR('W Sites'!$F$15))*12+MONTH(C205)-MONTH('W Sites'!$F$15))=0,'W Assumptions'!$D$62,IF(((YEAR(C205)-YEAR('W Sites'!$F$15))*12+MONTH(C205)-MONTH('W Sites'!$F$15))=1,'W Assumptions'!$D$63,1))*INDEX('W Assumptions'!$D$7:$F$7,1,D205)*INDEX('W Assumptions'!$D$32:$F$32,1,D205)*INDEX('W Assumptions'!$D$80:$D$91,MONTH(C205),1)/AVERAGE('W Assumptions'!$D$80:$D$91)</f>
        <v>0</v>
      </c>
      <c r="I205" s="81" t="n">
        <f aca="false">H205*'W Sites'!$J$15/(1+'W Assumptions'!$D$39)*INDEX('W Assumptions'!$D$12:$F$12,1,D205)*INDEX('W Assumptions'!$D$33:$F$33,1,D205)</f>
        <v>0</v>
      </c>
      <c r="J205" s="81" t="n">
        <f aca="false">H205*'W Sites'!$K$15/(1+'W Assumptions'!$D$39)*INDEX('W Assumptions'!$D$12:$F$12,1,D205)*INDEX('W Assumptions'!$D$33:$F$33,1,D205)</f>
        <v>0</v>
      </c>
      <c r="K205" s="81" t="n">
        <f aca="false">'W Sites'!$L$15*F205*IF(((YEAR(C205)-YEAR('W Sites'!$F$15))*12+MONTH(C205)-MONTH('W Sites'!$F$15))=0,'W Assumptions'!$D$62,IF(((YEAR(C205)-YEAR('W Sites'!$F$15))*12+MONTH(C205)-MONTH('W Sites'!$F$15))=1,'W Assumptions'!$D$63,1))*INDEX('W Assumptions'!$D$7:$F$7,1,D205)*INDEX('W Assumptions'!$D$32:$F$32,1,D205)</f>
        <v>0</v>
      </c>
      <c r="L205" s="81" t="n">
        <f aca="false">SUM(I205:K205)</f>
        <v>0</v>
      </c>
      <c r="M205" s="81" t="n">
        <f aca="false">'W Site Costs'!$I$15*F205*INDEX('W Assumptions'!$D$34:$F$34,1,D205)*INDEX('W Assumptions'!$D$22:$F$22,1,D205)</f>
        <v>0</v>
      </c>
      <c r="N205" s="81" t="n">
        <f aca="false">'W Site Costs'!$J$15*F205*INDEX('W Assumptions'!$D$35:$F$35,1,D205)*INDEX('W Assumptions'!$D$22:$F$22,1,D205)</f>
        <v>0</v>
      </c>
      <c r="O205" s="81" t="n">
        <f aca="false">L205*'W Site Costs'!$K$15</f>
        <v>0</v>
      </c>
      <c r="P205" s="81" t="n">
        <f aca="false">SUM('W Site Costs'!$L$15:$Q$15)*F205*INDEX('W Assumptions'!$D$35:$F$35,1,D205)*INDEX('W Assumptions'!$D$22:$F$22,1,D205)</f>
        <v>0</v>
      </c>
      <c r="Q205" s="81" t="n">
        <f aca="false">L205*'W Site Costs'!$R$15*INDEX('W Assumptions'!$D$17:$F$17,1,D205)</f>
        <v>0</v>
      </c>
      <c r="R205" s="112" t="n">
        <f aca="false">L205*'W Sites'!$M$15</f>
        <v>0</v>
      </c>
      <c r="S205" s="81" t="n">
        <f aca="false">SUM(M205:R205)</f>
        <v>0</v>
      </c>
      <c r="T205" s="81" t="n">
        <f aca="false">L205-S205</f>
        <v>0</v>
      </c>
      <c r="U205" s="81" t="n">
        <f aca="false">IF(C205='W Budget &amp; Owners'!$I$15,'W Budget &amp; Owners'!$F$15*'W Sites'!$G$15,0)</f>
        <v>0</v>
      </c>
      <c r="V205" s="81" t="n">
        <f aca="false">'W Sites'!$G$15*'W Budget &amp; Owners'!$E$15*INDEX('W Assumptions'!$D$27:$F$27,1,D205)*(IF(C205='W Budget &amp; Owners'!$I$15,'W Assumptions'!$D$65,0)+IF(C205=DATE(YEAR('W Sites'!$F$15),MONTH('W Sites'!$F$15),1),1-'W Assumptions'!$D$65,0))+'W Sites'!$G$15*'W Budget &amp; Owners'!$E$15*IF(C205=DATE(2027,9,1),'W Assumptions'!$D$67,IF(C205=DATE(2028,9,1),'W Assumptions'!$D$69,0))</f>
        <v>0</v>
      </c>
      <c r="W205" s="81" t="n">
        <f aca="false">IF(((YEAR(C205)-YEAR('W Sites'!$F$15))*12+MONTH(C205)-MONTH('W Sites'!$F$15))&lt;'W Budget &amp; Owners'!$H$15,'W Budget &amp; Owners'!$E$15/'W Budget &amp; Owners'!$H$15*F205,0)+IF(C205&gt;=DATE(2027,9,1),'W Budget &amp; Owners'!$E$15*'W Assumptions'!$D$67/'W Budget &amp; Owners'!$H$15*F205,0)+IF(C205&gt;=DATE(2028,9,1),'W Budget &amp; Owners'!$E$15*'W Assumptions'!$D$69/'W Budget &amp; Owners'!$H$15*F205,0)</f>
        <v>0</v>
      </c>
      <c r="X205" s="81" t="n">
        <f aca="false">IF(C205='W Budget &amp; Owners'!$I$15,'W Budget &amp; Owners'!$G$15*'W Sites'!$G$15,0)</f>
        <v>0</v>
      </c>
      <c r="Y205" s="112" t="n">
        <f aca="false">IF(SUM($G$196:$G$205)=0,0,'W Fees &amp; KPI'!$Q$25*G205/SUM($G$196:$G$205))</f>
        <v>0</v>
      </c>
      <c r="Z205" s="119" t="n">
        <f aca="false">IF(SUM($G$196:$G$205)=0,0,SUM('W Fees &amp; KPI'!$J$25,'W Fees &amp; KPI'!$M$25)*G205/SUM($G$196:$G$205))</f>
        <v>0</v>
      </c>
      <c r="AA205" s="117" t="n">
        <f aca="false">T205-U205-Z205-Y205</f>
        <v>0</v>
      </c>
      <c r="AB205" s="119" t="n">
        <f aca="false">IF('W Fees &amp; KPI'!$D$25=0,0,T205-U205-Z205)</f>
        <v>0</v>
      </c>
    </row>
    <row r="206" customFormat="false" ht="21" hidden="false" customHeight="true" outlineLevel="0" collapsed="false">
      <c r="C206" s="144" t="n">
        <f aca="false">46874</f>
        <v>46874</v>
      </c>
      <c r="D206" s="81" t="n">
        <f aca="false">2</f>
        <v>2</v>
      </c>
      <c r="E206" s="81" t="str">
        <f aca="false">'W Sites'!C6</f>
        <v>S01</v>
      </c>
      <c r="F206" s="145" t="n">
        <f aca="false">'W Sites'!$G$6*MAX(0,EOMONTH(C206,0)-MAX(C206,'W Sites'!$F$6)+1)/DAY(EOMONTH(C206,0))</f>
        <v>1</v>
      </c>
      <c r="G206" s="145" t="n">
        <f aca="false">'W Sites'!$G$6*MAX(0,EOMONTH(C206,0)-MAX(C206,'W Sites'!$F$6,'W Assumptions'!$D$58)+1)/DAY(EOMONTH(C206,0))</f>
        <v>1</v>
      </c>
      <c r="H206" s="81" t="n">
        <f aca="false">'W Sites'!$D$45*INDEX('W Sites'!$E$65:$E$76,MONTH(C206),1)/SUM('W Sites'!$E$65:$E$76)*F206*(1+'W Sites'!$D$56)^(D206-1)*INDEX('W Assumptions'!$D$7:$F$7,1,D206)</f>
        <v>3105.8</v>
      </c>
      <c r="I206" s="81" t="n">
        <f aca="false">H206*'W Sites'!$D$46/(1+'W Sites'!$D$54*'W Assumptions'!$D$39)*INDEX('W Assumptions'!$D$12:$F$12,1,D206)</f>
        <v>170819</v>
      </c>
      <c r="J206" s="81" t="n">
        <f aca="false">H206*SUM('W Sites'!$D$47:$D$49)/(1+'W Sites'!$D$54*'W Assumptions'!$D$39)*INDEX('W Assumptions'!$D$12:$F$12,1,D206)</f>
        <v>93174</v>
      </c>
      <c r="K206" s="81" t="n">
        <f aca="false">SUM('W Sites'!$D$50:$D$52)/12*F206*(1+'W Sites'!$D$56)^(D206-1)*INDEX('W Assumptions'!$D$7:$F$7,1,D206)*INDEX('W Assumptions'!$D$12:$F$12,1,D206)/(1+'W Sites'!$D$54*'W Assumptions'!$D$39)</f>
        <v>35333.3333333333</v>
      </c>
      <c r="L206" s="81" t="n">
        <f aca="false">SUM(I206:K206)</f>
        <v>299326.333333333</v>
      </c>
      <c r="M206" s="81" t="n">
        <f aca="false">('W Site Costs'!$I$6+INDEX('W Sites'!$F$65:$F$76,MONTH(C206),1)*'W Site Costs'!$V$6)*F206*(1+'W Sites'!$D$58)^(D206-1)*INDEX('W Assumptions'!$D$22:$F$22,1,D206)</f>
        <v>112840</v>
      </c>
      <c r="N206" s="81" t="n">
        <f aca="false">'W Site Costs'!$J$6*F206*INDEX('W Assumptions'!$D$35:$F$35,1,D206)*INDEX('W Assumptions'!$D$22:$F$22,1,D206)</f>
        <v>15600</v>
      </c>
      <c r="O206" s="81" t="n">
        <f aca="false">L206*'W Site Costs'!$K$6</f>
        <v>0</v>
      </c>
      <c r="P206" s="81" t="n">
        <f aca="false">(SUM('W Site Costs'!$L$6:$Q$6)+INDEX('W Sites'!$F$65:$F$76,MONTH(C206),1)*'W Site Costs'!$W$6)*F206*(1+'W Sites'!$D$58)^(D206-1)*INDEX('W Assumptions'!$D$22:$F$22,1,D206)</f>
        <v>76960</v>
      </c>
      <c r="Q206" s="81" t="n">
        <f aca="false">('W Site Costs'!$X$6+INDEX('W Sites'!$F$65:$F$76,MONTH(C206),1)*'W Site Costs'!$Y$6)*F206*(1+'W Sites'!$D$58)^(D206-1)*INDEX('W Assumptions'!$D$17:$F$17,1,D206)</f>
        <v>18720</v>
      </c>
      <c r="R206" s="112" t="n">
        <f aca="false">L206*'W Sites'!$M$6</f>
        <v>0</v>
      </c>
      <c r="S206" s="81" t="n">
        <f aca="false">SUM(M206:R206)</f>
        <v>224120</v>
      </c>
      <c r="T206" s="81" t="n">
        <f aca="false">L206-S206</f>
        <v>75206.3333333333</v>
      </c>
      <c r="U206" s="81" t="n">
        <f aca="false">IF(C206='W Budget &amp; Owners'!$I$6,'W Budget &amp; Owners'!$F$6*'W Sites'!$G$6,0)</f>
        <v>0</v>
      </c>
      <c r="V206" s="81" t="n">
        <f aca="false">'W Sites'!$G$6*'W Budget &amp; Owners'!$E$6*INDEX('W Assumptions'!$D$27:$F$27,1,D206)*(IF(C206='W Budget &amp; Owners'!$I$6,'W Assumptions'!$D$65,0)+IF(C206=DATE(YEAR('W Sites'!$F$6),MONTH('W Sites'!$F$6),1),1-'W Assumptions'!$D$65,0))+'W Sites'!$G$6*'W Budget &amp; Owners'!$E$6*IF(C206=DATE(2027,9,1),'W Assumptions'!$D$67,IF(C206=DATE(2028,9,1),'W Assumptions'!$D$69,0))</f>
        <v>0</v>
      </c>
      <c r="W206" s="81" t="n">
        <f aca="false">IF(((YEAR(C206)-YEAR('W Sites'!$F$6))*12+MONTH(C206)-MONTH('W Sites'!$F$6))&lt;'W Budget &amp; Owners'!$H$6,'W Budget &amp; Owners'!$E$6/'W Budget &amp; Owners'!$H$6*F206,0)+IF(C206&gt;=DATE(2027,9,1),'W Budget &amp; Owners'!$E$6*'W Assumptions'!$D$67/'W Budget &amp; Owners'!$H$6*F206,0)+IF(C206&gt;=DATE(2028,9,1),'W Budget &amp; Owners'!$E$6*'W Assumptions'!$D$69/'W Budget &amp; Owners'!$H$6*F206,0)</f>
        <v>5950</v>
      </c>
      <c r="X206" s="81" t="n">
        <f aca="false">IF(C206='W Budget &amp; Owners'!$I$6,'W Budget &amp; Owners'!$G$6*'W Sites'!$G$6,0)</f>
        <v>0</v>
      </c>
      <c r="Y206" s="112" t="n">
        <f aca="false">IF(SUM($G$206:$G$215)=0,0,'W Fees &amp; KPI'!$Q$26*G206/SUM($G$206:$G$215))</f>
        <v>2724.29468115942</v>
      </c>
      <c r="Z206" s="119" t="n">
        <f aca="false">IF(SUM($G$206:$G$215)=0,0,SUM('W Fees &amp; KPI'!$J$26,'W Fees &amp; KPI'!$M$26)*G206/SUM($G$206:$G$215))</f>
        <v>4611.25</v>
      </c>
      <c r="AA206" s="117" t="n">
        <f aca="false">T206-U206-Z206-Y206</f>
        <v>67870.7886521739</v>
      </c>
      <c r="AB206" s="119" t="n">
        <f aca="false">IF('W Fees &amp; KPI'!$D$26=0,0,T206-U206-Z206)</f>
        <v>70595.0833333333</v>
      </c>
    </row>
    <row r="207" customFormat="false" ht="21" hidden="false" customHeight="true" outlineLevel="0" collapsed="false">
      <c r="C207" s="144" t="n">
        <f aca="false">46874</f>
        <v>46874</v>
      </c>
      <c r="D207" s="81" t="n">
        <f aca="false">2</f>
        <v>2</v>
      </c>
      <c r="E207" s="81" t="str">
        <f aca="false">'W Sites'!C7</f>
        <v>S02</v>
      </c>
      <c r="F207" s="145" t="n">
        <f aca="false">'W Sites'!$G$7*MAX(0,EOMONTH(C207,0)-MAX(C207,'W Sites'!$F$7)+1)/DAY(EOMONTH(C207,0))</f>
        <v>1</v>
      </c>
      <c r="G207" s="145" t="n">
        <f aca="false">'W Sites'!$G$7*MAX(0,EOMONTH(C207,0)-MAX(C207,'W Sites'!$F$7,'W Assumptions'!$D$58)+1)/DAY(EOMONTH(C207,0))</f>
        <v>1</v>
      </c>
      <c r="H207" s="81" t="n">
        <f aca="false">'W Sites'!$H$7*F207*'W Sites'!$I$7*IF(((YEAR(C207)-YEAR('W Sites'!$F$7))*12+MONTH(C207)-MONTH('W Sites'!$F$7))=0,'W Assumptions'!$D$62,IF(((YEAR(C207)-YEAR('W Sites'!$F$7))*12+MONTH(C207)-MONTH('W Sites'!$F$7))=1,'W Assumptions'!$D$63,1))*INDEX('W Assumptions'!$D$7:$F$7,1,D207)*INDEX('W Assumptions'!$D$32:$F$32,1,D207)*INDEX('W Assumptions'!$D$80:$D$91,MONTH(C207),1)/AVERAGE('W Assumptions'!$D$80:$D$91)</f>
        <v>2310</v>
      </c>
      <c r="I207" s="81" t="n">
        <f aca="false">H207*'W Sites'!$J$7/(1+'W Assumptions'!$D$39)*INDEX('W Assumptions'!$D$12:$F$12,1,D207)*INDEX('W Assumptions'!$D$33:$F$33,1,D207)</f>
        <v>72413.4782608696</v>
      </c>
      <c r="J207" s="81" t="n">
        <f aca="false">H207*'W Sites'!$K$7/(1+'W Assumptions'!$D$39)*INDEX('W Assumptions'!$D$12:$F$12,1,D207)*INDEX('W Assumptions'!$D$33:$F$33,1,D207)</f>
        <v>6206.86956521739</v>
      </c>
      <c r="K207" s="81" t="n">
        <f aca="false">'W Sites'!$L$7*F207*IF(((YEAR(C207)-YEAR('W Sites'!$F$7))*12+MONTH(C207)-MONTH('W Sites'!$F$7))=0,'W Assumptions'!$D$62,IF(((YEAR(C207)-YEAR('W Sites'!$F$7))*12+MONTH(C207)-MONTH('W Sites'!$F$7))=1,'W Assumptions'!$D$63,1))*INDEX('W Assumptions'!$D$7:$F$7,1,D207)*INDEX('W Assumptions'!$D$32:$F$32,1,D207)</f>
        <v>5500</v>
      </c>
      <c r="L207" s="81" t="n">
        <f aca="false">SUM(I207:K207)</f>
        <v>84120.347826087</v>
      </c>
      <c r="M207" s="81" t="n">
        <f aca="false">'W Site Costs'!$I$7*F207*INDEX('W Assumptions'!$D$34:$F$34,1,D207)*INDEX('W Assumptions'!$D$22:$F$22,1,D207)</f>
        <v>34072.5</v>
      </c>
      <c r="N207" s="81" t="n">
        <f aca="false">'W Site Costs'!$J$7*F207*INDEX('W Assumptions'!$D$35:$F$35,1,D207)*INDEX('W Assumptions'!$D$22:$F$22,1,D207)</f>
        <v>0</v>
      </c>
      <c r="O207" s="81" t="n">
        <f aca="false">L207*'W Site Costs'!$K$7</f>
        <v>12618.052173913</v>
      </c>
      <c r="P207" s="81" t="n">
        <f aca="false">SUM('W Site Costs'!$L$7:$Q$7)*F207*INDEX('W Assumptions'!$D$35:$F$35,1,D207)*INDEX('W Assumptions'!$D$22:$F$22,1,D207)</f>
        <v>12168</v>
      </c>
      <c r="Q207" s="81" t="n">
        <f aca="false">L207*'W Site Costs'!$R$7*INDEX('W Assumptions'!$D$17:$F$17,1,D207)</f>
        <v>5047.22086956522</v>
      </c>
      <c r="R207" s="112" t="n">
        <f aca="false">L207*'W Sites'!$M$7</f>
        <v>0</v>
      </c>
      <c r="S207" s="81" t="n">
        <f aca="false">SUM(M207:R207)</f>
        <v>63905.7730434783</v>
      </c>
      <c r="T207" s="81" t="n">
        <f aca="false">L207-S207</f>
        <v>20214.5747826087</v>
      </c>
      <c r="U207" s="81" t="n">
        <f aca="false">IF(C207='W Budget &amp; Owners'!$I$7,'W Budget &amp; Owners'!$F$7*'W Sites'!$G$7,0)</f>
        <v>0</v>
      </c>
      <c r="V207" s="81" t="n">
        <f aca="false">'W Sites'!$G$7*'W Budget &amp; Owners'!$E$7*INDEX('W Assumptions'!$D$27:$F$27,1,D207)*(IF(C207='W Budget &amp; Owners'!$I$7,'W Assumptions'!$D$65,0)+IF(C207=DATE(YEAR('W Sites'!$F$7),MONTH('W Sites'!$F$7),1),1-'W Assumptions'!$D$65,0))+'W Sites'!$G$7*'W Budget &amp; Owners'!$E$7*IF(C207=DATE(2027,9,1),'W Assumptions'!$D$67,IF(C207=DATE(2028,9,1),'W Assumptions'!$D$69,0))</f>
        <v>0</v>
      </c>
      <c r="W207" s="81" t="n">
        <f aca="false">IF(((YEAR(C207)-YEAR('W Sites'!$F$7))*12+MONTH(C207)-MONTH('W Sites'!$F$7))&lt;'W Budget &amp; Owners'!$H$7,'W Budget &amp; Owners'!$E$7/'W Budget &amp; Owners'!$H$7*F207,0)+IF(C207&gt;=DATE(2027,9,1),'W Budget &amp; Owners'!$E$7*'W Assumptions'!$D$67/'W Budget &amp; Owners'!$H$7*F207,0)+IF(C207&gt;=DATE(2028,9,1),'W Budget &amp; Owners'!$E$7*'W Assumptions'!$D$69/'W Budget &amp; Owners'!$H$7*F207,0)</f>
        <v>1360</v>
      </c>
      <c r="X207" s="81" t="n">
        <f aca="false">IF(C207='W Budget &amp; Owners'!$I$7,'W Budget &amp; Owners'!$G$7*'W Sites'!$G$7,0)</f>
        <v>0</v>
      </c>
      <c r="Y207" s="112" t="n">
        <f aca="false">IF(SUM($G$206:$G$215)=0,0,'W Fees &amp; KPI'!$Q$26*G207/SUM($G$206:$G$215))</f>
        <v>2724.29468115942</v>
      </c>
      <c r="Z207" s="119" t="n">
        <f aca="false">IF(SUM($G$206:$G$215)=0,0,SUM('W Fees &amp; KPI'!$J$26,'W Fees &amp; KPI'!$M$26)*G207/SUM($G$206:$G$215))</f>
        <v>4611.25</v>
      </c>
      <c r="AA207" s="117" t="n">
        <f aca="false">T207-U207-Z207-Y207</f>
        <v>12879.0301014493</v>
      </c>
      <c r="AB207" s="119" t="n">
        <f aca="false">IF('W Fees &amp; KPI'!$D$26=0,0,T207-U207-Z207)</f>
        <v>15603.3247826087</v>
      </c>
    </row>
    <row r="208" customFormat="false" ht="21" hidden="false" customHeight="true" outlineLevel="0" collapsed="false">
      <c r="C208" s="144" t="n">
        <f aca="false">46874</f>
        <v>46874</v>
      </c>
      <c r="D208" s="81" t="n">
        <f aca="false">2</f>
        <v>2</v>
      </c>
      <c r="E208" s="81" t="str">
        <f aca="false">'W Sites'!C8</f>
        <v>S03</v>
      </c>
      <c r="F208" s="145" t="n">
        <f aca="false">'W Sites'!$G$8*MAX(0,EOMONTH(C208,0)-MAX(C208,'W Sites'!$F$8)+1)/DAY(EOMONTH(C208,0))</f>
        <v>1</v>
      </c>
      <c r="G208" s="145" t="n">
        <f aca="false">'W Sites'!$G$8*MAX(0,EOMONTH(C208,0)-MAX(C208,'W Sites'!$F$8,'W Assumptions'!$D$58)+1)/DAY(EOMONTH(C208,0))</f>
        <v>1</v>
      </c>
      <c r="H208" s="81" t="n">
        <f aca="false">'W Sites'!$H$8*F208*'W Sites'!$I$8*IF(((YEAR(C208)-YEAR('W Sites'!$F$8))*12+MONTH(C208)-MONTH('W Sites'!$F$8))=0,'W Assumptions'!$D$62,IF(((YEAR(C208)-YEAR('W Sites'!$F$8))*12+MONTH(C208)-MONTH('W Sites'!$F$8))=1,'W Assumptions'!$D$63,1))*INDEX('W Assumptions'!$D$7:$F$7,1,D208)*INDEX('W Assumptions'!$D$32:$F$32,1,D208)*INDEX('W Assumptions'!$D$80:$D$91,MONTH(C208),1)/AVERAGE('W Assumptions'!$D$80:$D$91)</f>
        <v>3119.17808219178</v>
      </c>
      <c r="I208" s="81" t="n">
        <f aca="false">H208*'W Sites'!$J$8/(1+'W Assumptions'!$D$39)*INDEX('W Assumptions'!$D$12:$F$12,1,D208)*INDEX('W Assumptions'!$D$33:$F$33,1,D208)</f>
        <v>181590.410958904</v>
      </c>
      <c r="J208" s="81" t="n">
        <f aca="false">H208*'W Sites'!$K$8/(1+'W Assumptions'!$D$39)*INDEX('W Assumptions'!$D$12:$F$12,1,D208)*INDEX('W Assumptions'!$D$33:$F$33,1,D208)</f>
        <v>22349.5890410959</v>
      </c>
      <c r="K208" s="81" t="n">
        <f aca="false">'W Sites'!$L$8*F208*IF(((YEAR(C208)-YEAR('W Sites'!$F$8))*12+MONTH(C208)-MONTH('W Sites'!$F$8))=0,'W Assumptions'!$D$62,IF(((YEAR(C208)-YEAR('W Sites'!$F$8))*12+MONTH(C208)-MONTH('W Sites'!$F$8))=1,'W Assumptions'!$D$63,1))*INDEX('W Assumptions'!$D$7:$F$7,1,D208)*INDEX('W Assumptions'!$D$32:$F$32,1,D208)</f>
        <v>22000</v>
      </c>
      <c r="L208" s="81" t="n">
        <f aca="false">SUM(I208:K208)</f>
        <v>225940</v>
      </c>
      <c r="M208" s="81" t="n">
        <f aca="false">'W Site Costs'!$I$8*F208*INDEX('W Assumptions'!$D$34:$F$34,1,D208)*INDEX('W Assumptions'!$D$22:$F$22,1,D208)</f>
        <v>50427.3</v>
      </c>
      <c r="N208" s="81" t="n">
        <f aca="false">'W Site Costs'!$J$8*F208*INDEX('W Assumptions'!$D$35:$F$35,1,D208)*INDEX('W Assumptions'!$D$22:$F$22,1,D208)</f>
        <v>36400</v>
      </c>
      <c r="O208" s="81" t="n">
        <f aca="false">L208*'W Site Costs'!$K$8</f>
        <v>0</v>
      </c>
      <c r="P208" s="81" t="n">
        <f aca="false">SUM('W Site Costs'!$L$8:$Q$8)*F208*INDEX('W Assumptions'!$D$35:$F$35,1,D208)*INDEX('W Assumptions'!$D$22:$F$22,1,D208)</f>
        <v>20280</v>
      </c>
      <c r="Q208" s="81" t="n">
        <f aca="false">L208*'W Site Costs'!$R$8*INDEX('W Assumptions'!$D$17:$F$17,1,D208)</f>
        <v>18075.2</v>
      </c>
      <c r="R208" s="112" t="n">
        <f aca="false">L208*'W Sites'!$M$8</f>
        <v>0</v>
      </c>
      <c r="S208" s="81" t="n">
        <f aca="false">SUM(M208:R208)</f>
        <v>125182.5</v>
      </c>
      <c r="T208" s="81" t="n">
        <f aca="false">L208-S208</f>
        <v>100757.5</v>
      </c>
      <c r="U208" s="81" t="n">
        <f aca="false">IF(C208='W Budget &amp; Owners'!$I$8,'W Budget &amp; Owners'!$F$8*'W Sites'!$G$8,0)</f>
        <v>0</v>
      </c>
      <c r="V208" s="81" t="n">
        <f aca="false">'W Sites'!$G$8*'W Budget &amp; Owners'!$E$8*INDEX('W Assumptions'!$D$27:$F$27,1,D208)*(IF(C208='W Budget &amp; Owners'!$I$8,'W Assumptions'!$D$65,0)+IF(C208=DATE(YEAR('W Sites'!$F$8),MONTH('W Sites'!$F$8),1),1-'W Assumptions'!$D$65,0))+'W Sites'!$G$8*'W Budget &amp; Owners'!$E$8*IF(C208=DATE(2027,9,1),'W Assumptions'!$D$67,IF(C208=DATE(2028,9,1),'W Assumptions'!$D$69,0))</f>
        <v>0</v>
      </c>
      <c r="W208" s="81" t="n">
        <f aca="false">IF(((YEAR(C208)-YEAR('W Sites'!$F$8))*12+MONTH(C208)-MONTH('W Sites'!$F$8))&lt;'W Budget &amp; Owners'!$H$8,'W Budget &amp; Owners'!$E$8/'W Budget &amp; Owners'!$H$8*F208,0)+IF(C208&gt;=DATE(2027,9,1),'W Budget &amp; Owners'!$E$8*'W Assumptions'!$D$67/'W Budget &amp; Owners'!$H$8*F208,0)+IF(C208&gt;=DATE(2028,9,1),'W Budget &amp; Owners'!$E$8*'W Assumptions'!$D$69/'W Budget &amp; Owners'!$H$8*F208,0)</f>
        <v>10200</v>
      </c>
      <c r="X208" s="81" t="n">
        <f aca="false">IF(C208='W Budget &amp; Owners'!$I$8,'W Budget &amp; Owners'!$G$8*'W Sites'!$G$8,0)</f>
        <v>0</v>
      </c>
      <c r="Y208" s="112" t="n">
        <f aca="false">IF(SUM($G$206:$G$215)=0,0,'W Fees &amp; KPI'!$Q$26*G208/SUM($G$206:$G$215))</f>
        <v>2724.29468115942</v>
      </c>
      <c r="Z208" s="119" t="n">
        <f aca="false">IF(SUM($G$206:$G$215)=0,0,SUM('W Fees &amp; KPI'!$J$26,'W Fees &amp; KPI'!$M$26)*G208/SUM($G$206:$G$215))</f>
        <v>4611.25</v>
      </c>
      <c r="AA208" s="117" t="n">
        <f aca="false">T208-U208-Z208-Y208</f>
        <v>93421.9553188407</v>
      </c>
      <c r="AB208" s="119" t="n">
        <f aca="false">IF('W Fees &amp; KPI'!$D$26=0,0,T208-U208-Z208)</f>
        <v>96146.2500000001</v>
      </c>
    </row>
    <row r="209" customFormat="false" ht="21" hidden="false" customHeight="true" outlineLevel="0" collapsed="false">
      <c r="C209" s="144" t="n">
        <f aca="false">46874</f>
        <v>46874</v>
      </c>
      <c r="D209" s="81" t="n">
        <f aca="false">2</f>
        <v>2</v>
      </c>
      <c r="E209" s="81" t="str">
        <f aca="false">'W Sites'!C9</f>
        <v>S04</v>
      </c>
      <c r="F209" s="145" t="n">
        <f aca="false">'W Sites'!$G$9*MAX(0,EOMONTH(C209,0)-MAX(C209,'W Sites'!$F$9)+1)/DAY(EOMONTH(C209,0))</f>
        <v>1</v>
      </c>
      <c r="G209" s="145" t="n">
        <f aca="false">'W Sites'!$G$9*MAX(0,EOMONTH(C209,0)-MAX(C209,'W Sites'!$F$9,'W Assumptions'!$D$58)+1)/DAY(EOMONTH(C209,0))</f>
        <v>1</v>
      </c>
      <c r="H209" s="81" t="n">
        <f aca="false">'W Sites'!$H$9*F209*'W Sites'!$I$9*IF(((YEAR(C209)-YEAR('W Sites'!$F$9))*12+MONTH(C209)-MONTH('W Sites'!$F$9))=0,'W Assumptions'!$D$62,IF(((YEAR(C209)-YEAR('W Sites'!$F$9))*12+MONTH(C209)-MONTH('W Sites'!$F$9))=1,'W Assumptions'!$D$63,1))*INDEX('W Assumptions'!$D$7:$F$7,1,D209)*INDEX('W Assumptions'!$D$32:$F$32,1,D209)*INDEX('W Assumptions'!$D$80:$D$91,MONTH(C209),1)/AVERAGE('W Assumptions'!$D$80:$D$91)</f>
        <v>2196.18055555556</v>
      </c>
      <c r="I209" s="81" t="n">
        <f aca="false">H209*'W Sites'!$J$9/(1+'W Assumptions'!$D$39)*INDEX('W Assumptions'!$D$12:$F$12,1,D209)*INDEX('W Assumptions'!$D$33:$F$33,1,D209)</f>
        <v>127855.902777778</v>
      </c>
      <c r="J209" s="81" t="n">
        <f aca="false">H209*'W Sites'!$K$9/(1+'W Assumptions'!$D$39)*INDEX('W Assumptions'!$D$12:$F$12,1,D209)*INDEX('W Assumptions'!$D$33:$F$33,1,D209)</f>
        <v>13769.0972222222</v>
      </c>
      <c r="K209" s="81" t="n">
        <f aca="false">'W Sites'!$L$9*F209*IF(((YEAR(C209)-YEAR('W Sites'!$F$9))*12+MONTH(C209)-MONTH('W Sites'!$F$9))=0,'W Assumptions'!$D$62,IF(((YEAR(C209)-YEAR('W Sites'!$F$9))*12+MONTH(C209)-MONTH('W Sites'!$F$9))=1,'W Assumptions'!$D$63,1))*INDEX('W Assumptions'!$D$7:$F$7,1,D209)*INDEX('W Assumptions'!$D$32:$F$32,1,D209)</f>
        <v>16500</v>
      </c>
      <c r="L209" s="81" t="n">
        <f aca="false">SUM(I209:K209)</f>
        <v>158125</v>
      </c>
      <c r="M209" s="81" t="n">
        <f aca="false">'W Site Costs'!$I$9*F209*INDEX('W Assumptions'!$D$34:$F$34,1,D209)*INDEX('W Assumptions'!$D$22:$F$22,1,D209)</f>
        <v>39648</v>
      </c>
      <c r="N209" s="81" t="n">
        <f aca="false">'W Site Costs'!$J$9*F209*INDEX('W Assumptions'!$D$35:$F$35,1,D209)*INDEX('W Assumptions'!$D$22:$F$22,1,D209)</f>
        <v>22880</v>
      </c>
      <c r="O209" s="81" t="n">
        <f aca="false">L209*'W Site Costs'!$K$9</f>
        <v>0</v>
      </c>
      <c r="P209" s="81" t="n">
        <f aca="false">SUM('W Site Costs'!$L$9:$Q$9)*F209*INDEX('W Assumptions'!$D$35:$F$35,1,D209)*INDEX('W Assumptions'!$D$22:$F$22,1,D209)</f>
        <v>16120</v>
      </c>
      <c r="Q209" s="81" t="n">
        <f aca="false">L209*'W Site Costs'!$R$9*INDEX('W Assumptions'!$D$17:$F$17,1,D209)</f>
        <v>12650</v>
      </c>
      <c r="R209" s="112" t="n">
        <f aca="false">L209*'W Sites'!$M$9</f>
        <v>0</v>
      </c>
      <c r="S209" s="81" t="n">
        <f aca="false">SUM(M209:R209)</f>
        <v>91298</v>
      </c>
      <c r="T209" s="81" t="n">
        <f aca="false">L209-S209</f>
        <v>66827</v>
      </c>
      <c r="U209" s="81" t="n">
        <f aca="false">IF(C209='W Budget &amp; Owners'!$I$9,'W Budget &amp; Owners'!$F$9*'W Sites'!$G$9,0)</f>
        <v>0</v>
      </c>
      <c r="V209" s="81" t="n">
        <f aca="false">'W Sites'!$G$9*'W Budget &amp; Owners'!$E$9*INDEX('W Assumptions'!$D$27:$F$27,1,D209)*(IF(C209='W Budget &amp; Owners'!$I$9,'W Assumptions'!$D$65,0)+IF(C209=DATE(YEAR('W Sites'!$F$9),MONTH('W Sites'!$F$9),1),1-'W Assumptions'!$D$65,0))+'W Sites'!$G$9*'W Budget &amp; Owners'!$E$9*IF(C209=DATE(2027,9,1),'W Assumptions'!$D$67,IF(C209=DATE(2028,9,1),'W Assumptions'!$D$69,0))</f>
        <v>0</v>
      </c>
      <c r="W209" s="81" t="n">
        <f aca="false">IF(((YEAR(C209)-YEAR('W Sites'!$F$9))*12+MONTH(C209)-MONTH('W Sites'!$F$9))&lt;'W Budget &amp; Owners'!$H$9,'W Budget &amp; Owners'!$E$9/'W Budget &amp; Owners'!$H$9*F209,0)+IF(C209&gt;=DATE(2027,9,1),'W Budget &amp; Owners'!$E$9*'W Assumptions'!$D$67/'W Budget &amp; Owners'!$H$9*F209,0)+IF(C209&gt;=DATE(2028,9,1),'W Budget &amp; Owners'!$E$9*'W Assumptions'!$D$69/'W Budget &amp; Owners'!$H$9*F209,0)</f>
        <v>8500</v>
      </c>
      <c r="X209" s="81" t="n">
        <f aca="false">IF(C209='W Budget &amp; Owners'!$I$9,'W Budget &amp; Owners'!$G$9*'W Sites'!$G$9,0)</f>
        <v>0</v>
      </c>
      <c r="Y209" s="112" t="n">
        <f aca="false">IF(SUM($G$206:$G$215)=0,0,'W Fees &amp; KPI'!$Q$26*G209/SUM($G$206:$G$215))</f>
        <v>2724.29468115942</v>
      </c>
      <c r="Z209" s="119" t="n">
        <f aca="false">IF(SUM($G$206:$G$215)=0,0,SUM('W Fees &amp; KPI'!$J$26,'W Fees &amp; KPI'!$M$26)*G209/SUM($G$206:$G$215))</f>
        <v>4611.25</v>
      </c>
      <c r="AA209" s="117" t="n">
        <f aca="false">T209-U209-Z209-Y209</f>
        <v>59491.4553188406</v>
      </c>
      <c r="AB209" s="119" t="n">
        <f aca="false">IF('W Fees &amp; KPI'!$D$26=0,0,T209-U209-Z209)</f>
        <v>62215.75</v>
      </c>
    </row>
    <row r="210" customFormat="false" ht="21" hidden="false" customHeight="true" outlineLevel="0" collapsed="false">
      <c r="C210" s="144" t="n">
        <f aca="false">46874</f>
        <v>46874</v>
      </c>
      <c r="D210" s="81" t="n">
        <f aca="false">2</f>
        <v>2</v>
      </c>
      <c r="E210" s="81" t="str">
        <f aca="false">'W Sites'!C10</f>
        <v>S05</v>
      </c>
      <c r="F210" s="145" t="n">
        <f aca="false">'W Sites'!$G$10*MAX(0,EOMONTH(C210,0)-MAX(C210,'W Sites'!$F$10)+1)/DAY(EOMONTH(C210,0))</f>
        <v>1</v>
      </c>
      <c r="G210" s="145" t="n">
        <f aca="false">'W Sites'!$G$10*MAX(0,EOMONTH(C210,0)-MAX(C210,'W Sites'!$F$10,'W Assumptions'!$D$58)+1)/DAY(EOMONTH(C210,0))</f>
        <v>1</v>
      </c>
      <c r="H210" s="81" t="n">
        <f aca="false">'W Sites'!$H$10*F210*'W Sites'!$I$10*IF(((YEAR(C210)-YEAR('W Sites'!$F$10))*12+MONTH(C210)-MONTH('W Sites'!$F$10))=0,'W Assumptions'!$D$62,IF(((YEAR(C210)-YEAR('W Sites'!$F$10))*12+MONTH(C210)-MONTH('W Sites'!$F$10))=1,'W Assumptions'!$D$63,1))*INDEX('W Assumptions'!$D$7:$F$7,1,D210)*INDEX('W Assumptions'!$D$32:$F$32,1,D210)*INDEX('W Assumptions'!$D$80:$D$91,MONTH(C210),1)/AVERAGE('W Assumptions'!$D$80:$D$91)</f>
        <v>2807.2602739726</v>
      </c>
      <c r="I210" s="81" t="n">
        <f aca="false">H210*'W Sites'!$J$10/(1+'W Assumptions'!$D$39)*INDEX('W Assumptions'!$D$12:$F$12,1,D210)*INDEX('W Assumptions'!$D$33:$F$33,1,D210)</f>
        <v>163431.369863014</v>
      </c>
      <c r="J210" s="81" t="n">
        <f aca="false">H210*'W Sites'!$K$10/(1+'W Assumptions'!$D$39)*INDEX('W Assumptions'!$D$12:$F$12,1,D210)*INDEX('W Assumptions'!$D$33:$F$33,1,D210)</f>
        <v>20114.6301369863</v>
      </c>
      <c r="K210" s="81" t="n">
        <f aca="false">'W Sites'!$L$10*F210*IF(((YEAR(C210)-YEAR('W Sites'!$F$10))*12+MONTH(C210)-MONTH('W Sites'!$F$10))=0,'W Assumptions'!$D$62,IF(((YEAR(C210)-YEAR('W Sites'!$F$10))*12+MONTH(C210)-MONTH('W Sites'!$F$10))=1,'W Assumptions'!$D$63,1))*INDEX('W Assumptions'!$D$7:$F$7,1,D210)*INDEX('W Assumptions'!$D$32:$F$32,1,D210)</f>
        <v>19800</v>
      </c>
      <c r="L210" s="81" t="n">
        <f aca="false">SUM(I210:K210)</f>
        <v>203346</v>
      </c>
      <c r="M210" s="81" t="n">
        <f aca="false">'W Site Costs'!$I$10*F210*INDEX('W Assumptions'!$D$34:$F$34,1,D210)*INDEX('W Assumptions'!$D$22:$F$22,1,D210)</f>
        <v>50427.3</v>
      </c>
      <c r="N210" s="81" t="n">
        <f aca="false">'W Site Costs'!$J$10*F210*INDEX('W Assumptions'!$D$35:$F$35,1,D210)*INDEX('W Assumptions'!$D$22:$F$22,1,D210)</f>
        <v>31200</v>
      </c>
      <c r="O210" s="81" t="n">
        <f aca="false">L210*'W Site Costs'!$K$10</f>
        <v>0</v>
      </c>
      <c r="P210" s="81" t="n">
        <f aca="false">SUM('W Site Costs'!$L$10:$Q$10)*F210*INDEX('W Assumptions'!$D$35:$F$35,1,D210)*INDEX('W Assumptions'!$D$22:$F$22,1,D210)</f>
        <v>19760</v>
      </c>
      <c r="Q210" s="81" t="n">
        <f aca="false">L210*'W Site Costs'!$R$10*INDEX('W Assumptions'!$D$17:$F$17,1,D210)</f>
        <v>16267.68</v>
      </c>
      <c r="R210" s="112" t="n">
        <f aca="false">L210*'W Sites'!$M$10</f>
        <v>0</v>
      </c>
      <c r="S210" s="81" t="n">
        <f aca="false">SUM(M210:R210)</f>
        <v>117654.98</v>
      </c>
      <c r="T210" s="81" t="n">
        <f aca="false">L210-S210</f>
        <v>85691.0200000001</v>
      </c>
      <c r="U210" s="81" t="n">
        <f aca="false">IF(C210='W Budget &amp; Owners'!$I$10,'W Budget &amp; Owners'!$F$10*'W Sites'!$G$10,0)</f>
        <v>0</v>
      </c>
      <c r="V210" s="81" t="n">
        <f aca="false">'W Sites'!$G$10*'W Budget &amp; Owners'!$E$10*INDEX('W Assumptions'!$D$27:$F$27,1,D210)*(IF(C210='W Budget &amp; Owners'!$I$10,'W Assumptions'!$D$65,0)+IF(C210=DATE(YEAR('W Sites'!$F$10),MONTH('W Sites'!$F$10),1),1-'W Assumptions'!$D$65,0))+'W Sites'!$G$10*'W Budget &amp; Owners'!$E$10*IF(C210=DATE(2027,9,1),'W Assumptions'!$D$67,IF(C210=DATE(2028,9,1),'W Assumptions'!$D$69,0))</f>
        <v>0</v>
      </c>
      <c r="W210" s="81" t="n">
        <f aca="false">IF(((YEAR(C210)-YEAR('W Sites'!$F$10))*12+MONTH(C210)-MONTH('W Sites'!$F$10))&lt;'W Budget &amp; Owners'!$H$10,'W Budget &amp; Owners'!$E$10/'W Budget &amp; Owners'!$H$10*F210,0)+IF(C210&gt;=DATE(2027,9,1),'W Budget &amp; Owners'!$E$10*'W Assumptions'!$D$67/'W Budget &amp; Owners'!$H$10*F210,0)+IF(C210&gt;=DATE(2028,9,1),'W Budget &amp; Owners'!$E$10*'W Assumptions'!$D$69/'W Budget &amp; Owners'!$H$10*F210,0)</f>
        <v>12750</v>
      </c>
      <c r="X210" s="81" t="n">
        <f aca="false">IF(C210='W Budget &amp; Owners'!$I$10,'W Budget &amp; Owners'!$G$10*'W Sites'!$G$10,0)</f>
        <v>0</v>
      </c>
      <c r="Y210" s="112" t="n">
        <f aca="false">IF(SUM($G$206:$G$215)=0,0,'W Fees &amp; KPI'!$Q$26*G210/SUM($G$206:$G$215))</f>
        <v>2724.29468115942</v>
      </c>
      <c r="Z210" s="119" t="n">
        <f aca="false">IF(SUM($G$206:$G$215)=0,0,SUM('W Fees &amp; KPI'!$J$26,'W Fees &amp; KPI'!$M$26)*G210/SUM($G$206:$G$215))</f>
        <v>4611.25</v>
      </c>
      <c r="AA210" s="117" t="n">
        <f aca="false">T210-U210-Z210-Y210</f>
        <v>78355.4753188406</v>
      </c>
      <c r="AB210" s="119" t="n">
        <f aca="false">IF('W Fees &amp; KPI'!$D$26=0,0,T210-U210-Z210)</f>
        <v>81079.7700000001</v>
      </c>
    </row>
    <row r="211" customFormat="false" ht="21" hidden="false" customHeight="true" outlineLevel="0" collapsed="false">
      <c r="C211" s="144" t="n">
        <f aca="false">46874</f>
        <v>46874</v>
      </c>
      <c r="D211" s="81" t="n">
        <f aca="false">2</f>
        <v>2</v>
      </c>
      <c r="E211" s="81" t="str">
        <f aca="false">'W Sites'!C11</f>
        <v>S06</v>
      </c>
      <c r="F211" s="145" t="n">
        <f aca="false">'W Sites'!$G$11*MAX(0,EOMONTH(C211,0)-MAX(C211,'W Sites'!$F$11)+1)/DAY(EOMONTH(C211,0))</f>
        <v>1</v>
      </c>
      <c r="G211" s="145" t="n">
        <f aca="false">'W Sites'!$G$11*MAX(0,EOMONTH(C211,0)-MAX(C211,'W Sites'!$F$11,'W Assumptions'!$D$58)+1)/DAY(EOMONTH(C211,0))</f>
        <v>1</v>
      </c>
      <c r="H211" s="81" t="n">
        <f aca="false">'W Sites'!$H$11*F211*'W Sites'!$I$11*IF(((YEAR(C211)-YEAR('W Sites'!$F$11))*12+MONTH(C211)-MONTH('W Sites'!$F$11))=0,'W Assumptions'!$D$62,IF(((YEAR(C211)-YEAR('W Sites'!$F$11))*12+MONTH(C211)-MONTH('W Sites'!$F$11))=1,'W Assumptions'!$D$63,1))*INDEX('W Assumptions'!$D$7:$F$7,1,D211)*INDEX('W Assumptions'!$D$32:$F$32,1,D211)*INDEX('W Assumptions'!$D$80:$D$91,MONTH(C211),1)/AVERAGE('W Assumptions'!$D$80:$D$91)</f>
        <v>858</v>
      </c>
      <c r="I211" s="81" t="n">
        <f aca="false">H211*'W Sites'!$J$11/(1+'W Assumptions'!$D$39)*INDEX('W Assumptions'!$D$12:$F$12,1,D211)*INDEX('W Assumptions'!$D$33:$F$33,1,D211)</f>
        <v>46108.1739130435</v>
      </c>
      <c r="J211" s="81" t="n">
        <f aca="false">H211*'W Sites'!$K$11/(1+'W Assumptions'!$D$39)*INDEX('W Assumptions'!$D$12:$F$12,1,D211)*INDEX('W Assumptions'!$D$33:$F$33,1,D211)</f>
        <v>2305.40869565217</v>
      </c>
      <c r="K211" s="81" t="n">
        <f aca="false">'W Sites'!$L$11*F211*IF(((YEAR(C211)-YEAR('W Sites'!$F$11))*12+MONTH(C211)-MONTH('W Sites'!$F$11))=0,'W Assumptions'!$D$62,IF(((YEAR(C211)-YEAR('W Sites'!$F$11))*12+MONTH(C211)-MONTH('W Sites'!$F$11))=1,'W Assumptions'!$D$63,1))*INDEX('W Assumptions'!$D$7:$F$7,1,D211)*INDEX('W Assumptions'!$D$32:$F$32,1,D211)</f>
        <v>22000</v>
      </c>
      <c r="L211" s="81" t="n">
        <f aca="false">SUM(I211:K211)</f>
        <v>70413.5826086957</v>
      </c>
      <c r="M211" s="81" t="n">
        <f aca="false">'W Site Costs'!$I$11*F211*INDEX('W Assumptions'!$D$34:$F$34,1,D211)*INDEX('W Assumptions'!$D$22:$F$22,1,D211)</f>
        <v>25027.8</v>
      </c>
      <c r="N211" s="81" t="n">
        <f aca="false">'W Site Costs'!$J$11*F211*INDEX('W Assumptions'!$D$35:$F$35,1,D211)*INDEX('W Assumptions'!$D$22:$F$22,1,D211)</f>
        <v>5200</v>
      </c>
      <c r="O211" s="81" t="n">
        <f aca="false">L211*'W Site Costs'!$K$11</f>
        <v>0</v>
      </c>
      <c r="P211" s="81" t="n">
        <f aca="false">SUM('W Site Costs'!$L$11:$Q$11)*F211*INDEX('W Assumptions'!$D$35:$F$35,1,D211)*INDEX('W Assumptions'!$D$22:$F$22,1,D211)</f>
        <v>8320</v>
      </c>
      <c r="Q211" s="81" t="n">
        <f aca="false">L211*'W Site Costs'!$R$11*INDEX('W Assumptions'!$D$17:$F$17,1,D211)</f>
        <v>7041.35826086957</v>
      </c>
      <c r="R211" s="112" t="n">
        <f aca="false">L211*'W Sites'!$M$11</f>
        <v>0</v>
      </c>
      <c r="S211" s="81" t="n">
        <f aca="false">SUM(M211:R211)</f>
        <v>45589.1582608696</v>
      </c>
      <c r="T211" s="81" t="n">
        <f aca="false">L211-S211</f>
        <v>24824.4243478261</v>
      </c>
      <c r="U211" s="81" t="n">
        <f aca="false">IF(C211='W Budget &amp; Owners'!$I$11,'W Budget &amp; Owners'!$F$11*'W Sites'!$G$11,0)</f>
        <v>0</v>
      </c>
      <c r="V211" s="81" t="n">
        <f aca="false">'W Sites'!$G$11*'W Budget &amp; Owners'!$E$11*INDEX('W Assumptions'!$D$27:$F$27,1,D211)*(IF(C211='W Budget &amp; Owners'!$I$11,'W Assumptions'!$D$65,0)+IF(C211=DATE(YEAR('W Sites'!$F$11),MONTH('W Sites'!$F$11),1),1-'W Assumptions'!$D$65,0))+'W Sites'!$G$11*'W Budget &amp; Owners'!$E$11*IF(C211=DATE(2027,9,1),'W Assumptions'!$D$67,IF(C211=DATE(2028,9,1),'W Assumptions'!$D$69,0))</f>
        <v>0</v>
      </c>
      <c r="W211" s="81" t="n">
        <f aca="false">IF(((YEAR(C211)-YEAR('W Sites'!$F$11))*12+MONTH(C211)-MONTH('W Sites'!$F$11))&lt;'W Budget &amp; Owners'!$H$11,'W Budget &amp; Owners'!$E$11/'W Budget &amp; Owners'!$H$11*F211,0)+IF(C211&gt;=DATE(2027,9,1),'W Budget &amp; Owners'!$E$11*'W Assumptions'!$D$67/'W Budget &amp; Owners'!$H$11*F211,0)+IF(C211&gt;=DATE(2028,9,1),'W Budget &amp; Owners'!$E$11*'W Assumptions'!$D$69/'W Budget &amp; Owners'!$H$11*F211,0)</f>
        <v>2550</v>
      </c>
      <c r="X211" s="81" t="n">
        <f aca="false">IF(C211='W Budget &amp; Owners'!$I$11,'W Budget &amp; Owners'!$G$11*'W Sites'!$G$11,0)</f>
        <v>0</v>
      </c>
      <c r="Y211" s="112" t="n">
        <f aca="false">IF(SUM($G$206:$G$215)=0,0,'W Fees &amp; KPI'!$Q$26*G211/SUM($G$206:$G$215))</f>
        <v>2724.29468115942</v>
      </c>
      <c r="Z211" s="119" t="n">
        <f aca="false">IF(SUM($G$206:$G$215)=0,0,SUM('W Fees &amp; KPI'!$J$26,'W Fees &amp; KPI'!$M$26)*G211/SUM($G$206:$G$215))</f>
        <v>4611.25</v>
      </c>
      <c r="AA211" s="117" t="n">
        <f aca="false">T211-U211-Z211-Y211</f>
        <v>17488.8796666667</v>
      </c>
      <c r="AB211" s="119" t="n">
        <f aca="false">IF('W Fees &amp; KPI'!$D$26=0,0,T211-U211-Z211)</f>
        <v>20213.1743478261</v>
      </c>
    </row>
    <row r="212" customFormat="false" ht="21" hidden="false" customHeight="true" outlineLevel="0" collapsed="false">
      <c r="C212" s="144" t="n">
        <f aca="false">46874</f>
        <v>46874</v>
      </c>
      <c r="D212" s="81" t="n">
        <f aca="false">2</f>
        <v>2</v>
      </c>
      <c r="E212" s="81" t="str">
        <f aca="false">'W Sites'!C12</f>
        <v>S07</v>
      </c>
      <c r="F212" s="145" t="n">
        <f aca="false">'W Sites'!$G$12*MAX(0,EOMONTH(C212,0)-MAX(C212,'W Sites'!$F$12)+1)/DAY(EOMONTH(C212,0))</f>
        <v>1</v>
      </c>
      <c r="G212" s="145" t="n">
        <f aca="false">'W Sites'!$G$12*MAX(0,EOMONTH(C212,0)-MAX(C212,'W Sites'!$F$12,'W Assumptions'!$D$58)+1)/DAY(EOMONTH(C212,0))</f>
        <v>1</v>
      </c>
      <c r="H212" s="81" t="n">
        <f aca="false">'W Sites'!$H$12*F212*'W Sites'!$I$12*IF(((YEAR(C212)-YEAR('W Sites'!$F$12))*12+MONTH(C212)-MONTH('W Sites'!$F$12))=0,'W Assumptions'!$D$62,IF(((YEAR(C212)-YEAR('W Sites'!$F$12))*12+MONTH(C212)-MONTH('W Sites'!$F$12))=1,'W Assumptions'!$D$63,1))*INDEX('W Assumptions'!$D$7:$F$7,1,D212)*INDEX('W Assumptions'!$D$32:$F$32,1,D212)*INDEX('W Assumptions'!$D$80:$D$91,MONTH(C212),1)/AVERAGE('W Assumptions'!$D$80:$D$91)</f>
        <v>1001</v>
      </c>
      <c r="I212" s="81" t="n">
        <f aca="false">H212*'W Sites'!$J$12/(1+'W Assumptions'!$D$39)*INDEX('W Assumptions'!$D$12:$F$12,1,D212)*INDEX('W Assumptions'!$D$33:$F$33,1,D212)</f>
        <v>53792.8695652174</v>
      </c>
      <c r="J212" s="81" t="n">
        <f aca="false">H212*'W Sites'!$K$12/(1+'W Assumptions'!$D$39)*INDEX('W Assumptions'!$D$12:$F$12,1,D212)*INDEX('W Assumptions'!$D$33:$F$33,1,D212)</f>
        <v>2689.64347826087</v>
      </c>
      <c r="K212" s="81" t="n">
        <f aca="false">'W Sites'!$L$12*F212*IF(((YEAR(C212)-YEAR('W Sites'!$F$12))*12+MONTH(C212)-MONTH('W Sites'!$F$12))=0,'W Assumptions'!$D$62,IF(((YEAR(C212)-YEAR('W Sites'!$F$12))*12+MONTH(C212)-MONTH('W Sites'!$F$12))=1,'W Assumptions'!$D$63,1))*INDEX('W Assumptions'!$D$7:$F$7,1,D212)*INDEX('W Assumptions'!$D$32:$F$32,1,D212)</f>
        <v>19800</v>
      </c>
      <c r="L212" s="81" t="n">
        <f aca="false">SUM(I212:K212)</f>
        <v>76282.5130434783</v>
      </c>
      <c r="M212" s="81" t="n">
        <f aca="false">'W Site Costs'!$I$12*F212*INDEX('W Assumptions'!$D$34:$F$34,1,D212)*INDEX('W Assumptions'!$D$22:$F$22,1,D212)</f>
        <v>25027.8</v>
      </c>
      <c r="N212" s="81" t="n">
        <f aca="false">'W Site Costs'!$J$12*F212*INDEX('W Assumptions'!$D$35:$F$35,1,D212)*INDEX('W Assumptions'!$D$22:$F$22,1,D212)</f>
        <v>8320</v>
      </c>
      <c r="O212" s="81" t="n">
        <f aca="false">L212*'W Site Costs'!$K$12</f>
        <v>0</v>
      </c>
      <c r="P212" s="81" t="n">
        <f aca="false">SUM('W Site Costs'!$L$12:$Q$12)*F212*INDEX('W Assumptions'!$D$35:$F$35,1,D212)*INDEX('W Assumptions'!$D$22:$F$22,1,D212)</f>
        <v>8840</v>
      </c>
      <c r="Q212" s="81" t="n">
        <f aca="false">L212*'W Site Costs'!$R$12*INDEX('W Assumptions'!$D$17:$F$17,1,D212)</f>
        <v>7628.25130434783</v>
      </c>
      <c r="R212" s="112" t="n">
        <f aca="false">L212*'W Sites'!$M$12</f>
        <v>0</v>
      </c>
      <c r="S212" s="81" t="n">
        <f aca="false">SUM(M212:R212)</f>
        <v>49816.0513043478</v>
      </c>
      <c r="T212" s="81" t="n">
        <f aca="false">L212-S212</f>
        <v>26466.4617391305</v>
      </c>
      <c r="U212" s="81" t="n">
        <f aca="false">IF(C212='W Budget &amp; Owners'!$I$12,'W Budget &amp; Owners'!$F$12*'W Sites'!$G$12,0)</f>
        <v>0</v>
      </c>
      <c r="V212" s="81" t="n">
        <f aca="false">'W Sites'!$G$12*'W Budget &amp; Owners'!$E$12*INDEX('W Assumptions'!$D$27:$F$27,1,D212)*(IF(C212='W Budget &amp; Owners'!$I$12,'W Assumptions'!$D$65,0)+IF(C212=DATE(YEAR('W Sites'!$F$12),MONTH('W Sites'!$F$12),1),1-'W Assumptions'!$D$65,0))+'W Sites'!$G$12*'W Budget &amp; Owners'!$E$12*IF(C212=DATE(2027,9,1),'W Assumptions'!$D$67,IF(C212=DATE(2028,9,1),'W Assumptions'!$D$69,0))</f>
        <v>0</v>
      </c>
      <c r="W212" s="81" t="n">
        <f aca="false">IF(((YEAR(C212)-YEAR('W Sites'!$F$12))*12+MONTH(C212)-MONTH('W Sites'!$F$12))&lt;'W Budget &amp; Owners'!$H$12,'W Budget &amp; Owners'!$E$12/'W Budget &amp; Owners'!$H$12*F212,0)+IF(C212&gt;=DATE(2027,9,1),'W Budget &amp; Owners'!$E$12*'W Assumptions'!$D$67/'W Budget &amp; Owners'!$H$12*F212,0)+IF(C212&gt;=DATE(2028,9,1),'W Budget &amp; Owners'!$E$12*'W Assumptions'!$D$69/'W Budget &amp; Owners'!$H$12*F212,0)</f>
        <v>7650</v>
      </c>
      <c r="X212" s="81" t="n">
        <f aca="false">IF(C212='W Budget &amp; Owners'!$I$12,'W Budget &amp; Owners'!$G$12*'W Sites'!$G$12,0)</f>
        <v>0</v>
      </c>
      <c r="Y212" s="112" t="n">
        <f aca="false">IF(SUM($G$206:$G$215)=0,0,'W Fees &amp; KPI'!$Q$26*G212/SUM($G$206:$G$215))</f>
        <v>2724.29468115942</v>
      </c>
      <c r="Z212" s="119" t="n">
        <f aca="false">IF(SUM($G$206:$G$215)=0,0,SUM('W Fees &amp; KPI'!$J$26,'W Fees &amp; KPI'!$M$26)*G212/SUM($G$206:$G$215))</f>
        <v>4611.25</v>
      </c>
      <c r="AA212" s="117" t="n">
        <f aca="false">T212-U212-Z212-Y212</f>
        <v>19130.917057971</v>
      </c>
      <c r="AB212" s="119" t="n">
        <f aca="false">IF('W Fees &amp; KPI'!$D$26=0,0,T212-U212-Z212)</f>
        <v>21855.2117391305</v>
      </c>
    </row>
    <row r="213" customFormat="false" ht="21" hidden="false" customHeight="true" outlineLevel="0" collapsed="false">
      <c r="C213" s="144" t="n">
        <f aca="false">46874</f>
        <v>46874</v>
      </c>
      <c r="D213" s="81" t="n">
        <f aca="false">2</f>
        <v>2</v>
      </c>
      <c r="E213" s="81" t="str">
        <f aca="false">'W Sites'!C13</f>
        <v>S08</v>
      </c>
      <c r="F213" s="145" t="n">
        <f aca="false">'W Sites'!$G$13*MAX(0,EOMONTH(C213,0)-MAX(C213,'W Sites'!$F$13)+1)/DAY(EOMONTH(C213,0))</f>
        <v>1</v>
      </c>
      <c r="G213" s="145" t="n">
        <f aca="false">'W Sites'!$G$13*MAX(0,EOMONTH(C213,0)-MAX(C213,'W Sites'!$F$13,'W Assumptions'!$D$58)+1)/DAY(EOMONTH(C213,0))</f>
        <v>1</v>
      </c>
      <c r="H213" s="81" t="n">
        <f aca="false">'W Sites'!$H$13*F213*'W Sites'!$I$13*IF(((YEAR(C213)-YEAR('W Sites'!$F$13))*12+MONTH(C213)-MONTH('W Sites'!$F$13))=0,'W Assumptions'!$D$62,IF(((YEAR(C213)-YEAR('W Sites'!$F$13))*12+MONTH(C213)-MONTH('W Sites'!$F$13))=1,'W Assumptions'!$D$63,1))*INDEX('W Assumptions'!$D$7:$F$7,1,D213)*INDEX('W Assumptions'!$D$32:$F$32,1,D213)*INDEX('W Assumptions'!$D$80:$D$91,MONTH(C213),1)/AVERAGE('W Assumptions'!$D$80:$D$91)</f>
        <v>4290</v>
      </c>
      <c r="I213" s="81" t="n">
        <f aca="false">H213*'W Sites'!$J$13/(1+'W Assumptions'!$D$39)*INDEX('W Assumptions'!$D$12:$F$12,1,D213)*INDEX('W Assumptions'!$D$33:$F$33,1,D213)</f>
        <v>153693.913043478</v>
      </c>
      <c r="J213" s="81" t="n">
        <f aca="false">H213*'W Sites'!$K$13/(1+'W Assumptions'!$D$39)*INDEX('W Assumptions'!$D$12:$F$12,1,D213)*INDEX('W Assumptions'!$D$33:$F$33,1,D213)</f>
        <v>19211.7391304348</v>
      </c>
      <c r="K213" s="81" t="n">
        <f aca="false">'W Sites'!$L$13*F213*IF(((YEAR(C213)-YEAR('W Sites'!$F$13))*12+MONTH(C213)-MONTH('W Sites'!$F$13))=0,'W Assumptions'!$D$62,IF(((YEAR(C213)-YEAR('W Sites'!$F$13))*12+MONTH(C213)-MONTH('W Sites'!$F$13))=1,'W Assumptions'!$D$63,1))*INDEX('W Assumptions'!$D$7:$F$7,1,D213)*INDEX('W Assumptions'!$D$32:$F$32,1,D213)</f>
        <v>16500</v>
      </c>
      <c r="L213" s="81" t="n">
        <f aca="false">SUM(I213:K213)</f>
        <v>189405.652173913</v>
      </c>
      <c r="M213" s="81" t="n">
        <f aca="false">'W Site Costs'!$I$13*F213*INDEX('W Assumptions'!$D$34:$F$34,1,D213)*INDEX('W Assumptions'!$D$22:$F$22,1,D213)</f>
        <v>56002.8</v>
      </c>
      <c r="N213" s="81" t="n">
        <f aca="false">'W Site Costs'!$J$13*F213*INDEX('W Assumptions'!$D$35:$F$35,1,D213)*INDEX('W Assumptions'!$D$22:$F$22,1,D213)</f>
        <v>0</v>
      </c>
      <c r="O213" s="81" t="n">
        <f aca="false">L213*'W Site Costs'!$K$13</f>
        <v>18940.5652173913</v>
      </c>
      <c r="P213" s="81" t="n">
        <f aca="false">SUM('W Site Costs'!$L$13:$Q$13)*F213*INDEX('W Assumptions'!$D$35:$F$35,1,D213)*INDEX('W Assumptions'!$D$22:$F$22,1,D213)</f>
        <v>26520</v>
      </c>
      <c r="Q213" s="81" t="n">
        <f aca="false">L213*'W Site Costs'!$R$13*INDEX('W Assumptions'!$D$17:$F$17,1,D213)</f>
        <v>15152.452173913</v>
      </c>
      <c r="R213" s="112" t="n">
        <f aca="false">L213*'W Sites'!$M$13</f>
        <v>0</v>
      </c>
      <c r="S213" s="81" t="n">
        <f aca="false">SUM(M213:R213)</f>
        <v>116615.817391304</v>
      </c>
      <c r="T213" s="81" t="n">
        <f aca="false">L213-S213</f>
        <v>72789.8347826087</v>
      </c>
      <c r="U213" s="81" t="n">
        <f aca="false">IF(C213='W Budget &amp; Owners'!$I$13,'W Budget &amp; Owners'!$F$13*'W Sites'!$G$13,0)</f>
        <v>0</v>
      </c>
      <c r="V213" s="81" t="n">
        <f aca="false">'W Sites'!$G$13*'W Budget &amp; Owners'!$E$13*INDEX('W Assumptions'!$D$27:$F$27,1,D213)*(IF(C213='W Budget &amp; Owners'!$I$13,'W Assumptions'!$D$65,0)+IF(C213=DATE(YEAR('W Sites'!$F$13),MONTH('W Sites'!$F$13),1),1-'W Assumptions'!$D$65,0))+'W Sites'!$G$13*'W Budget &amp; Owners'!$E$13*IF(C213=DATE(2027,9,1),'W Assumptions'!$D$67,IF(C213=DATE(2028,9,1),'W Assumptions'!$D$69,0))</f>
        <v>0</v>
      </c>
      <c r="W213" s="81" t="n">
        <f aca="false">IF(((YEAR(C213)-YEAR('W Sites'!$F$13))*12+MONTH(C213)-MONTH('W Sites'!$F$13))&lt;'W Budget &amp; Owners'!$H$13,'W Budget &amp; Owners'!$E$13/'W Budget &amp; Owners'!$H$13*F213,0)+IF(C213&gt;=DATE(2027,9,1),'W Budget &amp; Owners'!$E$13*'W Assumptions'!$D$67/'W Budget &amp; Owners'!$H$13*F213,0)+IF(C213&gt;=DATE(2028,9,1),'W Budget &amp; Owners'!$E$13*'W Assumptions'!$D$69/'W Budget &amp; Owners'!$H$13*F213,0)</f>
        <v>20400</v>
      </c>
      <c r="X213" s="81" t="n">
        <f aca="false">IF(C213='W Budget &amp; Owners'!$I$13,'W Budget &amp; Owners'!$G$13*'W Sites'!$G$13,0)</f>
        <v>0</v>
      </c>
      <c r="Y213" s="112" t="n">
        <f aca="false">IF(SUM($G$206:$G$215)=0,0,'W Fees &amp; KPI'!$Q$26*G213/SUM($G$206:$G$215))</f>
        <v>2724.29468115942</v>
      </c>
      <c r="Z213" s="119" t="n">
        <f aca="false">IF(SUM($G$206:$G$215)=0,0,SUM('W Fees &amp; KPI'!$J$26,'W Fees &amp; KPI'!$M$26)*G213/SUM($G$206:$G$215))</f>
        <v>4611.25</v>
      </c>
      <c r="AA213" s="117" t="n">
        <f aca="false">T213-U213-Z213-Y213</f>
        <v>65454.2901014493</v>
      </c>
      <c r="AB213" s="119" t="n">
        <f aca="false">IF('W Fees &amp; KPI'!$D$26=0,0,T213-U213-Z213)</f>
        <v>68178.5847826087</v>
      </c>
    </row>
    <row r="214" customFormat="false" ht="21" hidden="false" customHeight="true" outlineLevel="0" collapsed="false">
      <c r="C214" s="144" t="n">
        <f aca="false">46874</f>
        <v>46874</v>
      </c>
      <c r="D214" s="81" t="n">
        <f aca="false">2</f>
        <v>2</v>
      </c>
      <c r="E214" s="81" t="str">
        <f aca="false">'W Sites'!C14</f>
        <v>S09</v>
      </c>
      <c r="F214" s="145" t="n">
        <f aca="false">'W Sites'!$G$14*MAX(0,EOMONTH(C214,0)-MAX(C214,'W Sites'!$F$14)+1)/DAY(EOMONTH(C214,0))</f>
        <v>0</v>
      </c>
      <c r="G214" s="145" t="n">
        <f aca="false">'W Sites'!$G$14*MAX(0,EOMONTH(C214,0)-MAX(C214,'W Sites'!$F$14,'W Assumptions'!$D$58)+1)/DAY(EOMONTH(C214,0))</f>
        <v>0</v>
      </c>
      <c r="H214" s="81" t="n">
        <f aca="false">'W Sites'!$H$14*F214*'W Sites'!$I$14*IF(((YEAR(C214)-YEAR('W Sites'!$F$14))*12+MONTH(C214)-MONTH('W Sites'!$F$14))=0,'W Assumptions'!$D$62,IF(((YEAR(C214)-YEAR('W Sites'!$F$14))*12+MONTH(C214)-MONTH('W Sites'!$F$14))=1,'W Assumptions'!$D$63,1))*INDEX('W Assumptions'!$D$7:$F$7,1,D214)*INDEX('W Assumptions'!$D$32:$F$32,1,D214)*INDEX('W Assumptions'!$D$80:$D$91,MONTH(C214),1)/AVERAGE('W Assumptions'!$D$80:$D$91)</f>
        <v>0</v>
      </c>
      <c r="I214" s="81" t="n">
        <f aca="false">H214*'W Sites'!$J$14/(1+'W Assumptions'!$D$39)*INDEX('W Assumptions'!$D$12:$F$12,1,D214)*INDEX('W Assumptions'!$D$33:$F$33,1,D214)</f>
        <v>0</v>
      </c>
      <c r="J214" s="81" t="n">
        <f aca="false">H214*'W Sites'!$K$14/(1+'W Assumptions'!$D$39)*INDEX('W Assumptions'!$D$12:$F$12,1,D214)*INDEX('W Assumptions'!$D$33:$F$33,1,D214)</f>
        <v>0</v>
      </c>
      <c r="K214" s="81" t="n">
        <f aca="false">'W Sites'!$L$14*F214*IF(((YEAR(C214)-YEAR('W Sites'!$F$14))*12+MONTH(C214)-MONTH('W Sites'!$F$14))=0,'W Assumptions'!$D$62,IF(((YEAR(C214)-YEAR('W Sites'!$F$14))*12+MONTH(C214)-MONTH('W Sites'!$F$14))=1,'W Assumptions'!$D$63,1))*INDEX('W Assumptions'!$D$7:$F$7,1,D214)*INDEX('W Assumptions'!$D$32:$F$32,1,D214)</f>
        <v>0</v>
      </c>
      <c r="L214" s="81" t="n">
        <f aca="false">SUM(I214:K214)</f>
        <v>0</v>
      </c>
      <c r="M214" s="81" t="n">
        <f aca="false">'W Site Costs'!$I$14*F214*INDEX('W Assumptions'!$D$34:$F$34,1,D214)*INDEX('W Assumptions'!$D$22:$F$22,1,D214)</f>
        <v>0</v>
      </c>
      <c r="N214" s="81" t="n">
        <f aca="false">'W Site Costs'!$J$14*F214*INDEX('W Assumptions'!$D$35:$F$35,1,D214)*INDEX('W Assumptions'!$D$22:$F$22,1,D214)</f>
        <v>0</v>
      </c>
      <c r="O214" s="81" t="n">
        <f aca="false">L214*'W Site Costs'!$K$14</f>
        <v>0</v>
      </c>
      <c r="P214" s="81" t="n">
        <f aca="false">SUM('W Site Costs'!$L$14:$Q$14)*F214*INDEX('W Assumptions'!$D$35:$F$35,1,D214)*INDEX('W Assumptions'!$D$22:$F$22,1,D214)</f>
        <v>0</v>
      </c>
      <c r="Q214" s="81" t="n">
        <f aca="false">L214*'W Site Costs'!$R$14*INDEX('W Assumptions'!$D$17:$F$17,1,D214)</f>
        <v>0</v>
      </c>
      <c r="R214" s="112" t="n">
        <f aca="false">L214*'W Sites'!$M$14</f>
        <v>0</v>
      </c>
      <c r="S214" s="81" t="n">
        <f aca="false">SUM(M214:R214)</f>
        <v>0</v>
      </c>
      <c r="T214" s="81" t="n">
        <f aca="false">L214-S214</f>
        <v>0</v>
      </c>
      <c r="U214" s="81" t="n">
        <f aca="false">IF(C214='W Budget &amp; Owners'!$I$14,'W Budget &amp; Owners'!$F$14*'W Sites'!$G$14,0)</f>
        <v>0</v>
      </c>
      <c r="V214" s="81" t="n">
        <f aca="false">'W Sites'!$G$14*'W Budget &amp; Owners'!$E$14*INDEX('W Assumptions'!$D$27:$F$27,1,D214)*(IF(C214='W Budget &amp; Owners'!$I$14,'W Assumptions'!$D$65,0)+IF(C214=DATE(YEAR('W Sites'!$F$14),MONTH('W Sites'!$F$14),1),1-'W Assumptions'!$D$65,0))+'W Sites'!$G$14*'W Budget &amp; Owners'!$E$14*IF(C214=DATE(2027,9,1),'W Assumptions'!$D$67,IF(C214=DATE(2028,9,1),'W Assumptions'!$D$69,0))</f>
        <v>0</v>
      </c>
      <c r="W214" s="81" t="n">
        <f aca="false">IF(((YEAR(C214)-YEAR('W Sites'!$F$14))*12+MONTH(C214)-MONTH('W Sites'!$F$14))&lt;'W Budget &amp; Owners'!$H$14,'W Budget &amp; Owners'!$E$14/'W Budget &amp; Owners'!$H$14*F214,0)+IF(C214&gt;=DATE(2027,9,1),'W Budget &amp; Owners'!$E$14*'W Assumptions'!$D$67/'W Budget &amp; Owners'!$H$14*F214,0)+IF(C214&gt;=DATE(2028,9,1),'W Budget &amp; Owners'!$E$14*'W Assumptions'!$D$69/'W Budget &amp; Owners'!$H$14*F214,0)</f>
        <v>0</v>
      </c>
      <c r="X214" s="81" t="n">
        <f aca="false">IF(C214='W Budget &amp; Owners'!$I$14,'W Budget &amp; Owners'!$G$14*'W Sites'!$G$14,0)</f>
        <v>0</v>
      </c>
      <c r="Y214" s="112" t="n">
        <f aca="false">IF(SUM($G$206:$G$215)=0,0,'W Fees &amp; KPI'!$Q$26*G214/SUM($G$206:$G$215))</f>
        <v>0</v>
      </c>
      <c r="Z214" s="119" t="n">
        <f aca="false">IF(SUM($G$206:$G$215)=0,0,SUM('W Fees &amp; KPI'!$J$26,'W Fees &amp; KPI'!$M$26)*G214/SUM($G$206:$G$215))</f>
        <v>0</v>
      </c>
      <c r="AA214" s="117" t="n">
        <f aca="false">T214-U214-Z214-Y214</f>
        <v>0</v>
      </c>
      <c r="AB214" s="119" t="n">
        <f aca="false">IF('W Fees &amp; KPI'!$D$26=0,0,T214-U214-Z214)</f>
        <v>0</v>
      </c>
    </row>
    <row r="215" customFormat="false" ht="21" hidden="false" customHeight="true" outlineLevel="0" collapsed="false">
      <c r="C215" s="144" t="n">
        <f aca="false">46874</f>
        <v>46874</v>
      </c>
      <c r="D215" s="81" t="n">
        <f aca="false">2</f>
        <v>2</v>
      </c>
      <c r="E215" s="81" t="str">
        <f aca="false">'W Sites'!C15</f>
        <v>S10</v>
      </c>
      <c r="F215" s="145" t="n">
        <f aca="false">'W Sites'!$G$15*MAX(0,EOMONTH(C215,0)-MAX(C215,'W Sites'!$F$15)+1)/DAY(EOMONTH(C215,0))</f>
        <v>0</v>
      </c>
      <c r="G215" s="145" t="n">
        <f aca="false">'W Sites'!$G$15*MAX(0,EOMONTH(C215,0)-MAX(C215,'W Sites'!$F$15,'W Assumptions'!$D$58)+1)/DAY(EOMONTH(C215,0))</f>
        <v>0</v>
      </c>
      <c r="H215" s="81" t="n">
        <f aca="false">'W Sites'!$H$15*F215*'W Sites'!$I$15*IF(((YEAR(C215)-YEAR('W Sites'!$F$15))*12+MONTH(C215)-MONTH('W Sites'!$F$15))=0,'W Assumptions'!$D$62,IF(((YEAR(C215)-YEAR('W Sites'!$F$15))*12+MONTH(C215)-MONTH('W Sites'!$F$15))=1,'W Assumptions'!$D$63,1))*INDEX('W Assumptions'!$D$7:$F$7,1,D215)*INDEX('W Assumptions'!$D$32:$F$32,1,D215)*INDEX('W Assumptions'!$D$80:$D$91,MONTH(C215),1)/AVERAGE('W Assumptions'!$D$80:$D$91)</f>
        <v>0</v>
      </c>
      <c r="I215" s="81" t="n">
        <f aca="false">H215*'W Sites'!$J$15/(1+'W Assumptions'!$D$39)*INDEX('W Assumptions'!$D$12:$F$12,1,D215)*INDEX('W Assumptions'!$D$33:$F$33,1,D215)</f>
        <v>0</v>
      </c>
      <c r="J215" s="81" t="n">
        <f aca="false">H215*'W Sites'!$K$15/(1+'W Assumptions'!$D$39)*INDEX('W Assumptions'!$D$12:$F$12,1,D215)*INDEX('W Assumptions'!$D$33:$F$33,1,D215)</f>
        <v>0</v>
      </c>
      <c r="K215" s="81" t="n">
        <f aca="false">'W Sites'!$L$15*F215*IF(((YEAR(C215)-YEAR('W Sites'!$F$15))*12+MONTH(C215)-MONTH('W Sites'!$F$15))=0,'W Assumptions'!$D$62,IF(((YEAR(C215)-YEAR('W Sites'!$F$15))*12+MONTH(C215)-MONTH('W Sites'!$F$15))=1,'W Assumptions'!$D$63,1))*INDEX('W Assumptions'!$D$7:$F$7,1,D215)*INDEX('W Assumptions'!$D$32:$F$32,1,D215)</f>
        <v>0</v>
      </c>
      <c r="L215" s="81" t="n">
        <f aca="false">SUM(I215:K215)</f>
        <v>0</v>
      </c>
      <c r="M215" s="81" t="n">
        <f aca="false">'W Site Costs'!$I$15*F215*INDEX('W Assumptions'!$D$34:$F$34,1,D215)*INDEX('W Assumptions'!$D$22:$F$22,1,D215)</f>
        <v>0</v>
      </c>
      <c r="N215" s="81" t="n">
        <f aca="false">'W Site Costs'!$J$15*F215*INDEX('W Assumptions'!$D$35:$F$35,1,D215)*INDEX('W Assumptions'!$D$22:$F$22,1,D215)</f>
        <v>0</v>
      </c>
      <c r="O215" s="81" t="n">
        <f aca="false">L215*'W Site Costs'!$K$15</f>
        <v>0</v>
      </c>
      <c r="P215" s="81" t="n">
        <f aca="false">SUM('W Site Costs'!$L$15:$Q$15)*F215*INDEX('W Assumptions'!$D$35:$F$35,1,D215)*INDEX('W Assumptions'!$D$22:$F$22,1,D215)</f>
        <v>0</v>
      </c>
      <c r="Q215" s="81" t="n">
        <f aca="false">L215*'W Site Costs'!$R$15*INDEX('W Assumptions'!$D$17:$F$17,1,D215)</f>
        <v>0</v>
      </c>
      <c r="R215" s="112" t="n">
        <f aca="false">L215*'W Sites'!$M$15</f>
        <v>0</v>
      </c>
      <c r="S215" s="81" t="n">
        <f aca="false">SUM(M215:R215)</f>
        <v>0</v>
      </c>
      <c r="T215" s="81" t="n">
        <f aca="false">L215-S215</f>
        <v>0</v>
      </c>
      <c r="U215" s="81" t="n">
        <f aca="false">IF(C215='W Budget &amp; Owners'!$I$15,'W Budget &amp; Owners'!$F$15*'W Sites'!$G$15,0)</f>
        <v>0</v>
      </c>
      <c r="V215" s="81" t="n">
        <f aca="false">'W Sites'!$G$15*'W Budget &amp; Owners'!$E$15*INDEX('W Assumptions'!$D$27:$F$27,1,D215)*(IF(C215='W Budget &amp; Owners'!$I$15,'W Assumptions'!$D$65,0)+IF(C215=DATE(YEAR('W Sites'!$F$15),MONTH('W Sites'!$F$15),1),1-'W Assumptions'!$D$65,0))+'W Sites'!$G$15*'W Budget &amp; Owners'!$E$15*IF(C215=DATE(2027,9,1),'W Assumptions'!$D$67,IF(C215=DATE(2028,9,1),'W Assumptions'!$D$69,0))</f>
        <v>0</v>
      </c>
      <c r="W215" s="81" t="n">
        <f aca="false">IF(((YEAR(C215)-YEAR('W Sites'!$F$15))*12+MONTH(C215)-MONTH('W Sites'!$F$15))&lt;'W Budget &amp; Owners'!$H$15,'W Budget &amp; Owners'!$E$15/'W Budget &amp; Owners'!$H$15*F215,0)+IF(C215&gt;=DATE(2027,9,1),'W Budget &amp; Owners'!$E$15*'W Assumptions'!$D$67/'W Budget &amp; Owners'!$H$15*F215,0)+IF(C215&gt;=DATE(2028,9,1),'W Budget &amp; Owners'!$E$15*'W Assumptions'!$D$69/'W Budget &amp; Owners'!$H$15*F215,0)</f>
        <v>0</v>
      </c>
      <c r="X215" s="81" t="n">
        <f aca="false">IF(C215='W Budget &amp; Owners'!$I$15,'W Budget &amp; Owners'!$G$15*'W Sites'!$G$15,0)</f>
        <v>0</v>
      </c>
      <c r="Y215" s="112" t="n">
        <f aca="false">IF(SUM($G$206:$G$215)=0,0,'W Fees &amp; KPI'!$Q$26*G215/SUM($G$206:$G$215))</f>
        <v>0</v>
      </c>
      <c r="Z215" s="119" t="n">
        <f aca="false">IF(SUM($G$206:$G$215)=0,0,SUM('W Fees &amp; KPI'!$J$26,'W Fees &amp; KPI'!$M$26)*G215/SUM($G$206:$G$215))</f>
        <v>0</v>
      </c>
      <c r="AA215" s="117" t="n">
        <f aca="false">T215-U215-Z215-Y215</f>
        <v>0</v>
      </c>
      <c r="AB215" s="119" t="n">
        <f aca="false">IF('W Fees &amp; KPI'!$D$26=0,0,T215-U215-Z215)</f>
        <v>0</v>
      </c>
    </row>
    <row r="216" customFormat="false" ht="21" hidden="false" customHeight="true" outlineLevel="0" collapsed="false">
      <c r="C216" s="144" t="n">
        <f aca="false">46905</f>
        <v>46905</v>
      </c>
      <c r="D216" s="81" t="n">
        <f aca="false">2</f>
        <v>2</v>
      </c>
      <c r="E216" s="81" t="str">
        <f aca="false">'W Sites'!C6</f>
        <v>S01</v>
      </c>
      <c r="F216" s="145" t="n">
        <f aca="false">'W Sites'!$G$6*MAX(0,EOMONTH(C216,0)-MAX(C216,'W Sites'!$F$6)+1)/DAY(EOMONTH(C216,0))</f>
        <v>1</v>
      </c>
      <c r="G216" s="145" t="n">
        <f aca="false">'W Sites'!$G$6*MAX(0,EOMONTH(C216,0)-MAX(C216,'W Sites'!$F$6,'W Assumptions'!$D$58)+1)/DAY(EOMONTH(C216,0))</f>
        <v>1</v>
      </c>
      <c r="H216" s="81" t="n">
        <f aca="false">'W Sites'!$D$45*INDEX('W Sites'!$E$65:$E$76,MONTH(C216),1)/SUM('W Sites'!$E$65:$E$76)*F216*(1+'W Sites'!$D$56)^(D216-1)*INDEX('W Assumptions'!$D$7:$F$7,1,D216)</f>
        <v>6211.6</v>
      </c>
      <c r="I216" s="81" t="n">
        <f aca="false">H216*'W Sites'!$D$46/(1+'W Sites'!$D$54*'W Assumptions'!$D$39)*INDEX('W Assumptions'!$D$12:$F$12,1,D216)</f>
        <v>341638</v>
      </c>
      <c r="J216" s="81" t="n">
        <f aca="false">H216*SUM('W Sites'!$D$47:$D$49)/(1+'W Sites'!$D$54*'W Assumptions'!$D$39)*INDEX('W Assumptions'!$D$12:$F$12,1,D216)</f>
        <v>186348</v>
      </c>
      <c r="K216" s="81" t="n">
        <f aca="false">SUM('W Sites'!$D$50:$D$52)/12*F216*(1+'W Sites'!$D$56)^(D216-1)*INDEX('W Assumptions'!$D$7:$F$7,1,D216)*INDEX('W Assumptions'!$D$12:$F$12,1,D216)/(1+'W Sites'!$D$54*'W Assumptions'!$D$39)</f>
        <v>35333.3333333333</v>
      </c>
      <c r="L216" s="81" t="n">
        <f aca="false">SUM(I216:K216)</f>
        <v>563319.333333333</v>
      </c>
      <c r="M216" s="81" t="n">
        <f aca="false">('W Site Costs'!$I$6+INDEX('W Sites'!$F$65:$F$76,MONTH(C216),1)*'W Site Costs'!$V$6)*F216*(1+'W Sites'!$D$58)^(D216-1)*INDEX('W Assumptions'!$D$22:$F$22,1,D216)</f>
        <v>169520</v>
      </c>
      <c r="N216" s="81" t="n">
        <f aca="false">'W Site Costs'!$J$6*F216*INDEX('W Assumptions'!$D$35:$F$35,1,D216)*INDEX('W Assumptions'!$D$22:$F$22,1,D216)</f>
        <v>15600</v>
      </c>
      <c r="O216" s="81" t="n">
        <f aca="false">L216*'W Site Costs'!$K$6</f>
        <v>0</v>
      </c>
      <c r="P216" s="81" t="n">
        <f aca="false">(SUM('W Site Costs'!$L$6:$Q$6)+INDEX('W Sites'!$F$65:$F$76,MONTH(C216),1)*'W Site Costs'!$W$6)*F216*(1+'W Sites'!$D$58)^(D216-1)*INDEX('W Assumptions'!$D$22:$F$22,1,D216)</f>
        <v>111280</v>
      </c>
      <c r="Q216" s="81" t="n">
        <f aca="false">('W Site Costs'!$X$6+INDEX('W Sites'!$F$65:$F$76,MONTH(C216),1)*'W Site Costs'!$Y$6)*F216*(1+'W Sites'!$D$58)^(D216-1)*INDEX('W Assumptions'!$D$17:$F$17,1,D216)</f>
        <v>26000</v>
      </c>
      <c r="R216" s="112" t="n">
        <f aca="false">L216*'W Sites'!$M$6</f>
        <v>0</v>
      </c>
      <c r="S216" s="81" t="n">
        <f aca="false">SUM(M216:R216)</f>
        <v>322400</v>
      </c>
      <c r="T216" s="81" t="n">
        <f aca="false">L216-S216</f>
        <v>240919.333333333</v>
      </c>
      <c r="U216" s="81" t="n">
        <f aca="false">IF(C216='W Budget &amp; Owners'!$I$6,'W Budget &amp; Owners'!$F$6*'W Sites'!$G$6,0)</f>
        <v>0</v>
      </c>
      <c r="V216" s="81" t="n">
        <f aca="false">'W Sites'!$G$6*'W Budget &amp; Owners'!$E$6*INDEX('W Assumptions'!$D$27:$F$27,1,D216)*(IF(C216='W Budget &amp; Owners'!$I$6,'W Assumptions'!$D$65,0)+IF(C216=DATE(YEAR('W Sites'!$F$6),MONTH('W Sites'!$F$6),1),1-'W Assumptions'!$D$65,0))+'W Sites'!$G$6*'W Budget &amp; Owners'!$E$6*IF(C216=DATE(2027,9,1),'W Assumptions'!$D$67,IF(C216=DATE(2028,9,1),'W Assumptions'!$D$69,0))</f>
        <v>0</v>
      </c>
      <c r="W216" s="81" t="n">
        <f aca="false">IF(((YEAR(C216)-YEAR('W Sites'!$F$6))*12+MONTH(C216)-MONTH('W Sites'!$F$6))&lt;'W Budget &amp; Owners'!$H$6,'W Budget &amp; Owners'!$E$6/'W Budget &amp; Owners'!$H$6*F216,0)+IF(C216&gt;=DATE(2027,9,1),'W Budget &amp; Owners'!$E$6*'W Assumptions'!$D$67/'W Budget &amp; Owners'!$H$6*F216,0)+IF(C216&gt;=DATE(2028,9,1),'W Budget &amp; Owners'!$E$6*'W Assumptions'!$D$69/'W Budget &amp; Owners'!$H$6*F216,0)</f>
        <v>5950</v>
      </c>
      <c r="X216" s="81" t="n">
        <f aca="false">IF(C216='W Budget &amp; Owners'!$I$6,'W Budget &amp; Owners'!$G$6*'W Sites'!$G$6,0)</f>
        <v>0</v>
      </c>
      <c r="Y216" s="112" t="n">
        <f aca="false">IF(SUM($G$216:$G$225)=0,0,'W Fees &amp; KPI'!$Q$27*G216/SUM($G$216:$G$225))</f>
        <v>2778.64928659421</v>
      </c>
      <c r="Z216" s="119" t="n">
        <f aca="false">IF(SUM($G$216:$G$225)=0,0,SUM('W Fees &amp; KPI'!$J$27,'W Fees &amp; KPI'!$M$27)*G216/SUM($G$216:$G$225))</f>
        <v>4611.25</v>
      </c>
      <c r="AA216" s="117" t="n">
        <f aca="false">T216-U216-Z216-Y216</f>
        <v>233529.434046739</v>
      </c>
      <c r="AB216" s="119" t="n">
        <f aca="false">IF('W Fees &amp; KPI'!$D$27=0,0,T216-U216-Z216)</f>
        <v>236308.083333333</v>
      </c>
    </row>
    <row r="217" customFormat="false" ht="21" hidden="false" customHeight="true" outlineLevel="0" collapsed="false">
      <c r="C217" s="144" t="n">
        <f aca="false">46905</f>
        <v>46905</v>
      </c>
      <c r="D217" s="81" t="n">
        <f aca="false">2</f>
        <v>2</v>
      </c>
      <c r="E217" s="81" t="str">
        <f aca="false">'W Sites'!C7</f>
        <v>S02</v>
      </c>
      <c r="F217" s="145" t="n">
        <f aca="false">'W Sites'!$G$7*MAX(0,EOMONTH(C217,0)-MAX(C217,'W Sites'!$F$7)+1)/DAY(EOMONTH(C217,0))</f>
        <v>1</v>
      </c>
      <c r="G217" s="145" t="n">
        <f aca="false">'W Sites'!$G$7*MAX(0,EOMONTH(C217,0)-MAX(C217,'W Sites'!$F$7,'W Assumptions'!$D$58)+1)/DAY(EOMONTH(C217,0))</f>
        <v>1</v>
      </c>
      <c r="H217" s="81" t="n">
        <f aca="false">'W Sites'!$H$7*F217*'W Sites'!$I$7*IF(((YEAR(C217)-YEAR('W Sites'!$F$7))*12+MONTH(C217)-MONTH('W Sites'!$F$7))=0,'W Assumptions'!$D$62,IF(((YEAR(C217)-YEAR('W Sites'!$F$7))*12+MONTH(C217)-MONTH('W Sites'!$F$7))=1,'W Assumptions'!$D$63,1))*INDEX('W Assumptions'!$D$7:$F$7,1,D217)*INDEX('W Assumptions'!$D$32:$F$32,1,D217)*INDEX('W Assumptions'!$D$80:$D$91,MONTH(C217),1)/AVERAGE('W Assumptions'!$D$80:$D$91)</f>
        <v>1848</v>
      </c>
      <c r="I217" s="81" t="n">
        <f aca="false">H217*'W Sites'!$J$7/(1+'W Assumptions'!$D$39)*INDEX('W Assumptions'!$D$12:$F$12,1,D217)*INDEX('W Assumptions'!$D$33:$F$33,1,D217)</f>
        <v>57930.7826086957</v>
      </c>
      <c r="J217" s="81" t="n">
        <f aca="false">H217*'W Sites'!$K$7/(1+'W Assumptions'!$D$39)*INDEX('W Assumptions'!$D$12:$F$12,1,D217)*INDEX('W Assumptions'!$D$33:$F$33,1,D217)</f>
        <v>4965.49565217391</v>
      </c>
      <c r="K217" s="81" t="n">
        <f aca="false">'W Sites'!$L$7*F217*IF(((YEAR(C217)-YEAR('W Sites'!$F$7))*12+MONTH(C217)-MONTH('W Sites'!$F$7))=0,'W Assumptions'!$D$62,IF(((YEAR(C217)-YEAR('W Sites'!$F$7))*12+MONTH(C217)-MONTH('W Sites'!$F$7))=1,'W Assumptions'!$D$63,1))*INDEX('W Assumptions'!$D$7:$F$7,1,D217)*INDEX('W Assumptions'!$D$32:$F$32,1,D217)</f>
        <v>5500</v>
      </c>
      <c r="L217" s="81" t="n">
        <f aca="false">SUM(I217:K217)</f>
        <v>68396.2782608696</v>
      </c>
      <c r="M217" s="81" t="n">
        <f aca="false">'W Site Costs'!$I$7*F217*INDEX('W Assumptions'!$D$34:$F$34,1,D217)*INDEX('W Assumptions'!$D$22:$F$22,1,D217)</f>
        <v>34072.5</v>
      </c>
      <c r="N217" s="81" t="n">
        <f aca="false">'W Site Costs'!$J$7*F217*INDEX('W Assumptions'!$D$35:$F$35,1,D217)*INDEX('W Assumptions'!$D$22:$F$22,1,D217)</f>
        <v>0</v>
      </c>
      <c r="O217" s="81" t="n">
        <f aca="false">L217*'W Site Costs'!$K$7</f>
        <v>10259.4417391304</v>
      </c>
      <c r="P217" s="81" t="n">
        <f aca="false">SUM('W Site Costs'!$L$7:$Q$7)*F217*INDEX('W Assumptions'!$D$35:$F$35,1,D217)*INDEX('W Assumptions'!$D$22:$F$22,1,D217)</f>
        <v>12168</v>
      </c>
      <c r="Q217" s="81" t="n">
        <f aca="false">L217*'W Site Costs'!$R$7*INDEX('W Assumptions'!$D$17:$F$17,1,D217)</f>
        <v>4103.77669565217</v>
      </c>
      <c r="R217" s="112" t="n">
        <f aca="false">L217*'W Sites'!$M$7</f>
        <v>0</v>
      </c>
      <c r="S217" s="81" t="n">
        <f aca="false">SUM(M217:R217)</f>
        <v>60603.7184347826</v>
      </c>
      <c r="T217" s="81" t="n">
        <f aca="false">L217-S217</f>
        <v>7792.55982608696</v>
      </c>
      <c r="U217" s="81" t="n">
        <f aca="false">IF(C217='W Budget &amp; Owners'!$I$7,'W Budget &amp; Owners'!$F$7*'W Sites'!$G$7,0)</f>
        <v>0</v>
      </c>
      <c r="V217" s="81" t="n">
        <f aca="false">'W Sites'!$G$7*'W Budget &amp; Owners'!$E$7*INDEX('W Assumptions'!$D$27:$F$27,1,D217)*(IF(C217='W Budget &amp; Owners'!$I$7,'W Assumptions'!$D$65,0)+IF(C217=DATE(YEAR('W Sites'!$F$7),MONTH('W Sites'!$F$7),1),1-'W Assumptions'!$D$65,0))+'W Sites'!$G$7*'W Budget &amp; Owners'!$E$7*IF(C217=DATE(2027,9,1),'W Assumptions'!$D$67,IF(C217=DATE(2028,9,1),'W Assumptions'!$D$69,0))</f>
        <v>0</v>
      </c>
      <c r="W217" s="81" t="n">
        <f aca="false">IF(((YEAR(C217)-YEAR('W Sites'!$F$7))*12+MONTH(C217)-MONTH('W Sites'!$F$7))&lt;'W Budget &amp; Owners'!$H$7,'W Budget &amp; Owners'!$E$7/'W Budget &amp; Owners'!$H$7*F217,0)+IF(C217&gt;=DATE(2027,9,1),'W Budget &amp; Owners'!$E$7*'W Assumptions'!$D$67/'W Budget &amp; Owners'!$H$7*F217,0)+IF(C217&gt;=DATE(2028,9,1),'W Budget &amp; Owners'!$E$7*'W Assumptions'!$D$69/'W Budget &amp; Owners'!$H$7*F217,0)</f>
        <v>1360</v>
      </c>
      <c r="X217" s="81" t="n">
        <f aca="false">IF(C217='W Budget &amp; Owners'!$I$7,'W Budget &amp; Owners'!$G$7*'W Sites'!$G$7,0)</f>
        <v>0</v>
      </c>
      <c r="Y217" s="112" t="n">
        <f aca="false">IF(SUM($G$216:$G$225)=0,0,'W Fees &amp; KPI'!$Q$27*G217/SUM($G$216:$G$225))</f>
        <v>2778.64928659421</v>
      </c>
      <c r="Z217" s="119" t="n">
        <f aca="false">IF(SUM($G$216:$G$225)=0,0,SUM('W Fees &amp; KPI'!$J$27,'W Fees &amp; KPI'!$M$27)*G217/SUM($G$216:$G$225))</f>
        <v>4611.25</v>
      </c>
      <c r="AA217" s="117" t="n">
        <f aca="false">T217-U217-Z217-Y217</f>
        <v>402.660539492754</v>
      </c>
      <c r="AB217" s="119" t="n">
        <f aca="false">IF('W Fees &amp; KPI'!$D$27=0,0,T217-U217-Z217)</f>
        <v>3181.30982608696</v>
      </c>
    </row>
    <row r="218" customFormat="false" ht="21" hidden="false" customHeight="true" outlineLevel="0" collapsed="false">
      <c r="C218" s="144" t="n">
        <f aca="false">46905</f>
        <v>46905</v>
      </c>
      <c r="D218" s="81" t="n">
        <f aca="false">2</f>
        <v>2</v>
      </c>
      <c r="E218" s="81" t="str">
        <f aca="false">'W Sites'!C8</f>
        <v>S03</v>
      </c>
      <c r="F218" s="145" t="n">
        <f aca="false">'W Sites'!$G$8*MAX(0,EOMONTH(C218,0)-MAX(C218,'W Sites'!$F$8)+1)/DAY(EOMONTH(C218,0))</f>
        <v>1</v>
      </c>
      <c r="G218" s="145" t="n">
        <f aca="false">'W Sites'!$G$8*MAX(0,EOMONTH(C218,0)-MAX(C218,'W Sites'!$F$8,'W Assumptions'!$D$58)+1)/DAY(EOMONTH(C218,0))</f>
        <v>1</v>
      </c>
      <c r="H218" s="81" t="n">
        <f aca="false">'W Sites'!$H$8*F218*'W Sites'!$I$8*IF(((YEAR(C218)-YEAR('W Sites'!$F$8))*12+MONTH(C218)-MONTH('W Sites'!$F$8))=0,'W Assumptions'!$D$62,IF(((YEAR(C218)-YEAR('W Sites'!$F$8))*12+MONTH(C218)-MONTH('W Sites'!$F$8))=1,'W Assumptions'!$D$63,1))*INDEX('W Assumptions'!$D$7:$F$7,1,D218)*INDEX('W Assumptions'!$D$32:$F$32,1,D218)*INDEX('W Assumptions'!$D$80:$D$91,MONTH(C218),1)/AVERAGE('W Assumptions'!$D$80:$D$91)</f>
        <v>2495.34246575343</v>
      </c>
      <c r="I218" s="81" t="n">
        <f aca="false">H218*'W Sites'!$J$8/(1+'W Assumptions'!$D$39)*INDEX('W Assumptions'!$D$12:$F$12,1,D218)*INDEX('W Assumptions'!$D$33:$F$33,1,D218)</f>
        <v>145272.328767123</v>
      </c>
      <c r="J218" s="81" t="n">
        <f aca="false">H218*'W Sites'!$K$8/(1+'W Assumptions'!$D$39)*INDEX('W Assumptions'!$D$12:$F$12,1,D218)*INDEX('W Assumptions'!$D$33:$F$33,1,D218)</f>
        <v>17879.6712328767</v>
      </c>
      <c r="K218" s="81" t="n">
        <f aca="false">'W Sites'!$L$8*F218*IF(((YEAR(C218)-YEAR('W Sites'!$F$8))*12+MONTH(C218)-MONTH('W Sites'!$F$8))=0,'W Assumptions'!$D$62,IF(((YEAR(C218)-YEAR('W Sites'!$F$8))*12+MONTH(C218)-MONTH('W Sites'!$F$8))=1,'W Assumptions'!$D$63,1))*INDEX('W Assumptions'!$D$7:$F$7,1,D218)*INDEX('W Assumptions'!$D$32:$F$32,1,D218)</f>
        <v>22000</v>
      </c>
      <c r="L218" s="81" t="n">
        <f aca="false">SUM(I218:K218)</f>
        <v>185152</v>
      </c>
      <c r="M218" s="81" t="n">
        <f aca="false">'W Site Costs'!$I$8*F218*INDEX('W Assumptions'!$D$34:$F$34,1,D218)*INDEX('W Assumptions'!$D$22:$F$22,1,D218)</f>
        <v>50427.3</v>
      </c>
      <c r="N218" s="81" t="n">
        <f aca="false">'W Site Costs'!$J$8*F218*INDEX('W Assumptions'!$D$35:$F$35,1,D218)*INDEX('W Assumptions'!$D$22:$F$22,1,D218)</f>
        <v>36400</v>
      </c>
      <c r="O218" s="81" t="n">
        <f aca="false">L218*'W Site Costs'!$K$8</f>
        <v>0</v>
      </c>
      <c r="P218" s="81" t="n">
        <f aca="false">SUM('W Site Costs'!$L$8:$Q$8)*F218*INDEX('W Assumptions'!$D$35:$F$35,1,D218)*INDEX('W Assumptions'!$D$22:$F$22,1,D218)</f>
        <v>20280</v>
      </c>
      <c r="Q218" s="81" t="n">
        <f aca="false">L218*'W Site Costs'!$R$8*INDEX('W Assumptions'!$D$17:$F$17,1,D218)</f>
        <v>14812.16</v>
      </c>
      <c r="R218" s="112" t="n">
        <f aca="false">L218*'W Sites'!$M$8</f>
        <v>0</v>
      </c>
      <c r="S218" s="81" t="n">
        <f aca="false">SUM(M218:R218)</f>
        <v>121919.46</v>
      </c>
      <c r="T218" s="81" t="n">
        <f aca="false">L218-S218</f>
        <v>63232.5400000001</v>
      </c>
      <c r="U218" s="81" t="n">
        <f aca="false">IF(C218='W Budget &amp; Owners'!$I$8,'W Budget &amp; Owners'!$F$8*'W Sites'!$G$8,0)</f>
        <v>0</v>
      </c>
      <c r="V218" s="81" t="n">
        <f aca="false">'W Sites'!$G$8*'W Budget &amp; Owners'!$E$8*INDEX('W Assumptions'!$D$27:$F$27,1,D218)*(IF(C218='W Budget &amp; Owners'!$I$8,'W Assumptions'!$D$65,0)+IF(C218=DATE(YEAR('W Sites'!$F$8),MONTH('W Sites'!$F$8),1),1-'W Assumptions'!$D$65,0))+'W Sites'!$G$8*'W Budget &amp; Owners'!$E$8*IF(C218=DATE(2027,9,1),'W Assumptions'!$D$67,IF(C218=DATE(2028,9,1),'W Assumptions'!$D$69,0))</f>
        <v>0</v>
      </c>
      <c r="W218" s="81" t="n">
        <f aca="false">IF(((YEAR(C218)-YEAR('W Sites'!$F$8))*12+MONTH(C218)-MONTH('W Sites'!$F$8))&lt;'W Budget &amp; Owners'!$H$8,'W Budget &amp; Owners'!$E$8/'W Budget &amp; Owners'!$H$8*F218,0)+IF(C218&gt;=DATE(2027,9,1),'W Budget &amp; Owners'!$E$8*'W Assumptions'!$D$67/'W Budget &amp; Owners'!$H$8*F218,0)+IF(C218&gt;=DATE(2028,9,1),'W Budget &amp; Owners'!$E$8*'W Assumptions'!$D$69/'W Budget &amp; Owners'!$H$8*F218,0)</f>
        <v>10200</v>
      </c>
      <c r="X218" s="81" t="n">
        <f aca="false">IF(C218='W Budget &amp; Owners'!$I$8,'W Budget &amp; Owners'!$G$8*'W Sites'!$G$8,0)</f>
        <v>0</v>
      </c>
      <c r="Y218" s="112" t="n">
        <f aca="false">IF(SUM($G$216:$G$225)=0,0,'W Fees &amp; KPI'!$Q$27*G218/SUM($G$216:$G$225))</f>
        <v>2778.64928659421</v>
      </c>
      <c r="Z218" s="119" t="n">
        <f aca="false">IF(SUM($G$216:$G$225)=0,0,SUM('W Fees &amp; KPI'!$J$27,'W Fees &amp; KPI'!$M$27)*G218/SUM($G$216:$G$225))</f>
        <v>4611.25</v>
      </c>
      <c r="AA218" s="117" t="n">
        <f aca="false">T218-U218-Z218-Y218</f>
        <v>55842.6407134058</v>
      </c>
      <c r="AB218" s="119" t="n">
        <f aca="false">IF('W Fees &amp; KPI'!$D$27=0,0,T218-U218-Z218)</f>
        <v>58621.2900000001</v>
      </c>
    </row>
    <row r="219" customFormat="false" ht="21" hidden="false" customHeight="true" outlineLevel="0" collapsed="false">
      <c r="C219" s="144" t="n">
        <f aca="false">46905</f>
        <v>46905</v>
      </c>
      <c r="D219" s="81" t="n">
        <f aca="false">2</f>
        <v>2</v>
      </c>
      <c r="E219" s="81" t="str">
        <f aca="false">'W Sites'!C9</f>
        <v>S04</v>
      </c>
      <c r="F219" s="145" t="n">
        <f aca="false">'W Sites'!$G$9*MAX(0,EOMONTH(C219,0)-MAX(C219,'W Sites'!$F$9)+1)/DAY(EOMONTH(C219,0))</f>
        <v>1</v>
      </c>
      <c r="G219" s="145" t="n">
        <f aca="false">'W Sites'!$G$9*MAX(0,EOMONTH(C219,0)-MAX(C219,'W Sites'!$F$9,'W Assumptions'!$D$58)+1)/DAY(EOMONTH(C219,0))</f>
        <v>1</v>
      </c>
      <c r="H219" s="81" t="n">
        <f aca="false">'W Sites'!$H$9*F219*'W Sites'!$I$9*IF(((YEAR(C219)-YEAR('W Sites'!$F$9))*12+MONTH(C219)-MONTH('W Sites'!$F$9))=0,'W Assumptions'!$D$62,IF(((YEAR(C219)-YEAR('W Sites'!$F$9))*12+MONTH(C219)-MONTH('W Sites'!$F$9))=1,'W Assumptions'!$D$63,1))*INDEX('W Assumptions'!$D$7:$F$7,1,D219)*INDEX('W Assumptions'!$D$32:$F$32,1,D219)*INDEX('W Assumptions'!$D$80:$D$91,MONTH(C219),1)/AVERAGE('W Assumptions'!$D$80:$D$91)</f>
        <v>1756.94444444444</v>
      </c>
      <c r="I219" s="81" t="n">
        <f aca="false">H219*'W Sites'!$J$9/(1+'W Assumptions'!$D$39)*INDEX('W Assumptions'!$D$12:$F$12,1,D219)*INDEX('W Assumptions'!$D$33:$F$33,1,D219)</f>
        <v>102284.722222222</v>
      </c>
      <c r="J219" s="81" t="n">
        <f aca="false">H219*'W Sites'!$K$9/(1+'W Assumptions'!$D$39)*INDEX('W Assumptions'!$D$12:$F$12,1,D219)*INDEX('W Assumptions'!$D$33:$F$33,1,D219)</f>
        <v>11015.2777777778</v>
      </c>
      <c r="K219" s="81" t="n">
        <f aca="false">'W Sites'!$L$9*F219*IF(((YEAR(C219)-YEAR('W Sites'!$F$9))*12+MONTH(C219)-MONTH('W Sites'!$F$9))=0,'W Assumptions'!$D$62,IF(((YEAR(C219)-YEAR('W Sites'!$F$9))*12+MONTH(C219)-MONTH('W Sites'!$F$9))=1,'W Assumptions'!$D$63,1))*INDEX('W Assumptions'!$D$7:$F$7,1,D219)*INDEX('W Assumptions'!$D$32:$F$32,1,D219)</f>
        <v>16500</v>
      </c>
      <c r="L219" s="81" t="n">
        <f aca="false">SUM(I219:K219)</f>
        <v>129800</v>
      </c>
      <c r="M219" s="81" t="n">
        <f aca="false">'W Site Costs'!$I$9*F219*INDEX('W Assumptions'!$D$34:$F$34,1,D219)*INDEX('W Assumptions'!$D$22:$F$22,1,D219)</f>
        <v>39648</v>
      </c>
      <c r="N219" s="81" t="n">
        <f aca="false">'W Site Costs'!$J$9*F219*INDEX('W Assumptions'!$D$35:$F$35,1,D219)*INDEX('W Assumptions'!$D$22:$F$22,1,D219)</f>
        <v>22880</v>
      </c>
      <c r="O219" s="81" t="n">
        <f aca="false">L219*'W Site Costs'!$K$9</f>
        <v>0</v>
      </c>
      <c r="P219" s="81" t="n">
        <f aca="false">SUM('W Site Costs'!$L$9:$Q$9)*F219*INDEX('W Assumptions'!$D$35:$F$35,1,D219)*INDEX('W Assumptions'!$D$22:$F$22,1,D219)</f>
        <v>16120</v>
      </c>
      <c r="Q219" s="81" t="n">
        <f aca="false">L219*'W Site Costs'!$R$9*INDEX('W Assumptions'!$D$17:$F$17,1,D219)</f>
        <v>10384</v>
      </c>
      <c r="R219" s="112" t="n">
        <f aca="false">L219*'W Sites'!$M$9</f>
        <v>0</v>
      </c>
      <c r="S219" s="81" t="n">
        <f aca="false">SUM(M219:R219)</f>
        <v>89032</v>
      </c>
      <c r="T219" s="81" t="n">
        <f aca="false">L219-S219</f>
        <v>40768</v>
      </c>
      <c r="U219" s="81" t="n">
        <f aca="false">IF(C219='W Budget &amp; Owners'!$I$9,'W Budget &amp; Owners'!$F$9*'W Sites'!$G$9,0)</f>
        <v>0</v>
      </c>
      <c r="V219" s="81" t="n">
        <f aca="false">'W Sites'!$G$9*'W Budget &amp; Owners'!$E$9*INDEX('W Assumptions'!$D$27:$F$27,1,D219)*(IF(C219='W Budget &amp; Owners'!$I$9,'W Assumptions'!$D$65,0)+IF(C219=DATE(YEAR('W Sites'!$F$9),MONTH('W Sites'!$F$9),1),1-'W Assumptions'!$D$65,0))+'W Sites'!$G$9*'W Budget &amp; Owners'!$E$9*IF(C219=DATE(2027,9,1),'W Assumptions'!$D$67,IF(C219=DATE(2028,9,1),'W Assumptions'!$D$69,0))</f>
        <v>0</v>
      </c>
      <c r="W219" s="81" t="n">
        <f aca="false">IF(((YEAR(C219)-YEAR('W Sites'!$F$9))*12+MONTH(C219)-MONTH('W Sites'!$F$9))&lt;'W Budget &amp; Owners'!$H$9,'W Budget &amp; Owners'!$E$9/'W Budget &amp; Owners'!$H$9*F219,0)+IF(C219&gt;=DATE(2027,9,1),'W Budget &amp; Owners'!$E$9*'W Assumptions'!$D$67/'W Budget &amp; Owners'!$H$9*F219,0)+IF(C219&gt;=DATE(2028,9,1),'W Budget &amp; Owners'!$E$9*'W Assumptions'!$D$69/'W Budget &amp; Owners'!$H$9*F219,0)</f>
        <v>8500</v>
      </c>
      <c r="X219" s="81" t="n">
        <f aca="false">IF(C219='W Budget &amp; Owners'!$I$9,'W Budget &amp; Owners'!$G$9*'W Sites'!$G$9,0)</f>
        <v>0</v>
      </c>
      <c r="Y219" s="112" t="n">
        <f aca="false">IF(SUM($G$216:$G$225)=0,0,'W Fees &amp; KPI'!$Q$27*G219/SUM($G$216:$G$225))</f>
        <v>2778.64928659421</v>
      </c>
      <c r="Z219" s="119" t="n">
        <f aca="false">IF(SUM($G$216:$G$225)=0,0,SUM('W Fees &amp; KPI'!$J$27,'W Fees &amp; KPI'!$M$27)*G219/SUM($G$216:$G$225))</f>
        <v>4611.25</v>
      </c>
      <c r="AA219" s="117" t="n">
        <f aca="false">T219-U219-Z219-Y219</f>
        <v>33378.1007134058</v>
      </c>
      <c r="AB219" s="119" t="n">
        <f aca="false">IF('W Fees &amp; KPI'!$D$27=0,0,T219-U219-Z219)</f>
        <v>36156.75</v>
      </c>
    </row>
    <row r="220" customFormat="false" ht="21" hidden="false" customHeight="true" outlineLevel="0" collapsed="false">
      <c r="C220" s="144" t="n">
        <f aca="false">46905</f>
        <v>46905</v>
      </c>
      <c r="D220" s="81" t="n">
        <f aca="false">2</f>
        <v>2</v>
      </c>
      <c r="E220" s="81" t="str">
        <f aca="false">'W Sites'!C10</f>
        <v>S05</v>
      </c>
      <c r="F220" s="145" t="n">
        <f aca="false">'W Sites'!$G$10*MAX(0,EOMONTH(C220,0)-MAX(C220,'W Sites'!$F$10)+1)/DAY(EOMONTH(C220,0))</f>
        <v>1</v>
      </c>
      <c r="G220" s="145" t="n">
        <f aca="false">'W Sites'!$G$10*MAX(0,EOMONTH(C220,0)-MAX(C220,'W Sites'!$F$10,'W Assumptions'!$D$58)+1)/DAY(EOMONTH(C220,0))</f>
        <v>1</v>
      </c>
      <c r="H220" s="81" t="n">
        <f aca="false">'W Sites'!$H$10*F220*'W Sites'!$I$10*IF(((YEAR(C220)-YEAR('W Sites'!$F$10))*12+MONTH(C220)-MONTH('W Sites'!$F$10))=0,'W Assumptions'!$D$62,IF(((YEAR(C220)-YEAR('W Sites'!$F$10))*12+MONTH(C220)-MONTH('W Sites'!$F$10))=1,'W Assumptions'!$D$63,1))*INDEX('W Assumptions'!$D$7:$F$7,1,D220)*INDEX('W Assumptions'!$D$32:$F$32,1,D220)*INDEX('W Assumptions'!$D$80:$D$91,MONTH(C220),1)/AVERAGE('W Assumptions'!$D$80:$D$91)</f>
        <v>2245.80821917808</v>
      </c>
      <c r="I220" s="81" t="n">
        <f aca="false">H220*'W Sites'!$J$10/(1+'W Assumptions'!$D$39)*INDEX('W Assumptions'!$D$12:$F$12,1,D220)*INDEX('W Assumptions'!$D$33:$F$33,1,D220)</f>
        <v>130745.095890411</v>
      </c>
      <c r="J220" s="81" t="n">
        <f aca="false">H220*'W Sites'!$K$10/(1+'W Assumptions'!$D$39)*INDEX('W Assumptions'!$D$12:$F$12,1,D220)*INDEX('W Assumptions'!$D$33:$F$33,1,D220)</f>
        <v>16091.704109589</v>
      </c>
      <c r="K220" s="81" t="n">
        <f aca="false">'W Sites'!$L$10*F220*IF(((YEAR(C220)-YEAR('W Sites'!$F$10))*12+MONTH(C220)-MONTH('W Sites'!$F$10))=0,'W Assumptions'!$D$62,IF(((YEAR(C220)-YEAR('W Sites'!$F$10))*12+MONTH(C220)-MONTH('W Sites'!$F$10))=1,'W Assumptions'!$D$63,1))*INDEX('W Assumptions'!$D$7:$F$7,1,D220)*INDEX('W Assumptions'!$D$32:$F$32,1,D220)</f>
        <v>19800</v>
      </c>
      <c r="L220" s="81" t="n">
        <f aca="false">SUM(I220:K220)</f>
        <v>166636.8</v>
      </c>
      <c r="M220" s="81" t="n">
        <f aca="false">'W Site Costs'!$I$10*F220*INDEX('W Assumptions'!$D$34:$F$34,1,D220)*INDEX('W Assumptions'!$D$22:$F$22,1,D220)</f>
        <v>50427.3</v>
      </c>
      <c r="N220" s="81" t="n">
        <f aca="false">'W Site Costs'!$J$10*F220*INDEX('W Assumptions'!$D$35:$F$35,1,D220)*INDEX('W Assumptions'!$D$22:$F$22,1,D220)</f>
        <v>31200</v>
      </c>
      <c r="O220" s="81" t="n">
        <f aca="false">L220*'W Site Costs'!$K$10</f>
        <v>0</v>
      </c>
      <c r="P220" s="81" t="n">
        <f aca="false">SUM('W Site Costs'!$L$10:$Q$10)*F220*INDEX('W Assumptions'!$D$35:$F$35,1,D220)*INDEX('W Assumptions'!$D$22:$F$22,1,D220)</f>
        <v>19760</v>
      </c>
      <c r="Q220" s="81" t="n">
        <f aca="false">L220*'W Site Costs'!$R$10*INDEX('W Assumptions'!$D$17:$F$17,1,D220)</f>
        <v>13330.944</v>
      </c>
      <c r="R220" s="112" t="n">
        <f aca="false">L220*'W Sites'!$M$10</f>
        <v>0</v>
      </c>
      <c r="S220" s="81" t="n">
        <f aca="false">SUM(M220:R220)</f>
        <v>114718.244</v>
      </c>
      <c r="T220" s="81" t="n">
        <f aca="false">L220-S220</f>
        <v>51918.556</v>
      </c>
      <c r="U220" s="81" t="n">
        <f aca="false">IF(C220='W Budget &amp; Owners'!$I$10,'W Budget &amp; Owners'!$F$10*'W Sites'!$G$10,0)</f>
        <v>0</v>
      </c>
      <c r="V220" s="81" t="n">
        <f aca="false">'W Sites'!$G$10*'W Budget &amp; Owners'!$E$10*INDEX('W Assumptions'!$D$27:$F$27,1,D220)*(IF(C220='W Budget &amp; Owners'!$I$10,'W Assumptions'!$D$65,0)+IF(C220=DATE(YEAR('W Sites'!$F$10),MONTH('W Sites'!$F$10),1),1-'W Assumptions'!$D$65,0))+'W Sites'!$G$10*'W Budget &amp; Owners'!$E$10*IF(C220=DATE(2027,9,1),'W Assumptions'!$D$67,IF(C220=DATE(2028,9,1),'W Assumptions'!$D$69,0))</f>
        <v>0</v>
      </c>
      <c r="W220" s="81" t="n">
        <f aca="false">IF(((YEAR(C220)-YEAR('W Sites'!$F$10))*12+MONTH(C220)-MONTH('W Sites'!$F$10))&lt;'W Budget &amp; Owners'!$H$10,'W Budget &amp; Owners'!$E$10/'W Budget &amp; Owners'!$H$10*F220,0)+IF(C220&gt;=DATE(2027,9,1),'W Budget &amp; Owners'!$E$10*'W Assumptions'!$D$67/'W Budget &amp; Owners'!$H$10*F220,0)+IF(C220&gt;=DATE(2028,9,1),'W Budget &amp; Owners'!$E$10*'W Assumptions'!$D$69/'W Budget &amp; Owners'!$H$10*F220,0)</f>
        <v>12750</v>
      </c>
      <c r="X220" s="81" t="n">
        <f aca="false">IF(C220='W Budget &amp; Owners'!$I$10,'W Budget &amp; Owners'!$G$10*'W Sites'!$G$10,0)</f>
        <v>0</v>
      </c>
      <c r="Y220" s="112" t="n">
        <f aca="false">IF(SUM($G$216:$G$225)=0,0,'W Fees &amp; KPI'!$Q$27*G220/SUM($G$216:$G$225))</f>
        <v>2778.64928659421</v>
      </c>
      <c r="Z220" s="119" t="n">
        <f aca="false">IF(SUM($G$216:$G$225)=0,0,SUM('W Fees &amp; KPI'!$J$27,'W Fees &amp; KPI'!$M$27)*G220/SUM($G$216:$G$225))</f>
        <v>4611.25</v>
      </c>
      <c r="AA220" s="117" t="n">
        <f aca="false">T220-U220-Z220-Y220</f>
        <v>44528.6567134058</v>
      </c>
      <c r="AB220" s="119" t="n">
        <f aca="false">IF('W Fees &amp; KPI'!$D$27=0,0,T220-U220-Z220)</f>
        <v>47307.306</v>
      </c>
    </row>
    <row r="221" customFormat="false" ht="21" hidden="false" customHeight="true" outlineLevel="0" collapsed="false">
      <c r="C221" s="144" t="n">
        <f aca="false">46905</f>
        <v>46905</v>
      </c>
      <c r="D221" s="81" t="n">
        <f aca="false">2</f>
        <v>2</v>
      </c>
      <c r="E221" s="81" t="str">
        <f aca="false">'W Sites'!C11</f>
        <v>S06</v>
      </c>
      <c r="F221" s="145" t="n">
        <f aca="false">'W Sites'!$G$11*MAX(0,EOMONTH(C221,0)-MAX(C221,'W Sites'!$F$11)+1)/DAY(EOMONTH(C221,0))</f>
        <v>1</v>
      </c>
      <c r="G221" s="145" t="n">
        <f aca="false">'W Sites'!$G$11*MAX(0,EOMONTH(C221,0)-MAX(C221,'W Sites'!$F$11,'W Assumptions'!$D$58)+1)/DAY(EOMONTH(C221,0))</f>
        <v>1</v>
      </c>
      <c r="H221" s="81" t="n">
        <f aca="false">'W Sites'!$H$11*F221*'W Sites'!$I$11*IF(((YEAR(C221)-YEAR('W Sites'!$F$11))*12+MONTH(C221)-MONTH('W Sites'!$F$11))=0,'W Assumptions'!$D$62,IF(((YEAR(C221)-YEAR('W Sites'!$F$11))*12+MONTH(C221)-MONTH('W Sites'!$F$11))=1,'W Assumptions'!$D$63,1))*INDEX('W Assumptions'!$D$7:$F$7,1,D221)*INDEX('W Assumptions'!$D$32:$F$32,1,D221)*INDEX('W Assumptions'!$D$80:$D$91,MONTH(C221),1)/AVERAGE('W Assumptions'!$D$80:$D$91)</f>
        <v>686.4</v>
      </c>
      <c r="I221" s="81" t="n">
        <f aca="false">H221*'W Sites'!$J$11/(1+'W Assumptions'!$D$39)*INDEX('W Assumptions'!$D$12:$F$12,1,D221)*INDEX('W Assumptions'!$D$33:$F$33,1,D221)</f>
        <v>36886.5391304348</v>
      </c>
      <c r="J221" s="81" t="n">
        <f aca="false">H221*'W Sites'!$K$11/(1+'W Assumptions'!$D$39)*INDEX('W Assumptions'!$D$12:$F$12,1,D221)*INDEX('W Assumptions'!$D$33:$F$33,1,D221)</f>
        <v>1844.32695652174</v>
      </c>
      <c r="K221" s="81" t="n">
        <f aca="false">'W Sites'!$L$11*F221*IF(((YEAR(C221)-YEAR('W Sites'!$F$11))*12+MONTH(C221)-MONTH('W Sites'!$F$11))=0,'W Assumptions'!$D$62,IF(((YEAR(C221)-YEAR('W Sites'!$F$11))*12+MONTH(C221)-MONTH('W Sites'!$F$11))=1,'W Assumptions'!$D$63,1))*INDEX('W Assumptions'!$D$7:$F$7,1,D221)*INDEX('W Assumptions'!$D$32:$F$32,1,D221)</f>
        <v>22000</v>
      </c>
      <c r="L221" s="81" t="n">
        <f aca="false">SUM(I221:K221)</f>
        <v>60730.8660869565</v>
      </c>
      <c r="M221" s="81" t="n">
        <f aca="false">'W Site Costs'!$I$11*F221*INDEX('W Assumptions'!$D$34:$F$34,1,D221)*INDEX('W Assumptions'!$D$22:$F$22,1,D221)</f>
        <v>25027.8</v>
      </c>
      <c r="N221" s="81" t="n">
        <f aca="false">'W Site Costs'!$J$11*F221*INDEX('W Assumptions'!$D$35:$F$35,1,D221)*INDEX('W Assumptions'!$D$22:$F$22,1,D221)</f>
        <v>5200</v>
      </c>
      <c r="O221" s="81" t="n">
        <f aca="false">L221*'W Site Costs'!$K$11</f>
        <v>0</v>
      </c>
      <c r="P221" s="81" t="n">
        <f aca="false">SUM('W Site Costs'!$L$11:$Q$11)*F221*INDEX('W Assumptions'!$D$35:$F$35,1,D221)*INDEX('W Assumptions'!$D$22:$F$22,1,D221)</f>
        <v>8320</v>
      </c>
      <c r="Q221" s="81" t="n">
        <f aca="false">L221*'W Site Costs'!$R$11*INDEX('W Assumptions'!$D$17:$F$17,1,D221)</f>
        <v>6073.08660869565</v>
      </c>
      <c r="R221" s="112" t="n">
        <f aca="false">L221*'W Sites'!$M$11</f>
        <v>0</v>
      </c>
      <c r="S221" s="81" t="n">
        <f aca="false">SUM(M221:R221)</f>
        <v>44620.8866086957</v>
      </c>
      <c r="T221" s="81" t="n">
        <f aca="false">L221-S221</f>
        <v>16109.9794782609</v>
      </c>
      <c r="U221" s="81" t="n">
        <f aca="false">IF(C221='W Budget &amp; Owners'!$I$11,'W Budget &amp; Owners'!$F$11*'W Sites'!$G$11,0)</f>
        <v>0</v>
      </c>
      <c r="V221" s="81" t="n">
        <f aca="false">'W Sites'!$G$11*'W Budget &amp; Owners'!$E$11*INDEX('W Assumptions'!$D$27:$F$27,1,D221)*(IF(C221='W Budget &amp; Owners'!$I$11,'W Assumptions'!$D$65,0)+IF(C221=DATE(YEAR('W Sites'!$F$11),MONTH('W Sites'!$F$11),1),1-'W Assumptions'!$D$65,0))+'W Sites'!$G$11*'W Budget &amp; Owners'!$E$11*IF(C221=DATE(2027,9,1),'W Assumptions'!$D$67,IF(C221=DATE(2028,9,1),'W Assumptions'!$D$69,0))</f>
        <v>0</v>
      </c>
      <c r="W221" s="81" t="n">
        <f aca="false">IF(((YEAR(C221)-YEAR('W Sites'!$F$11))*12+MONTH(C221)-MONTH('W Sites'!$F$11))&lt;'W Budget &amp; Owners'!$H$11,'W Budget &amp; Owners'!$E$11/'W Budget &amp; Owners'!$H$11*F221,0)+IF(C221&gt;=DATE(2027,9,1),'W Budget &amp; Owners'!$E$11*'W Assumptions'!$D$67/'W Budget &amp; Owners'!$H$11*F221,0)+IF(C221&gt;=DATE(2028,9,1),'W Budget &amp; Owners'!$E$11*'W Assumptions'!$D$69/'W Budget &amp; Owners'!$H$11*F221,0)</f>
        <v>2550</v>
      </c>
      <c r="X221" s="81" t="n">
        <f aca="false">IF(C221='W Budget &amp; Owners'!$I$11,'W Budget &amp; Owners'!$G$11*'W Sites'!$G$11,0)</f>
        <v>0</v>
      </c>
      <c r="Y221" s="112" t="n">
        <f aca="false">IF(SUM($G$216:$G$225)=0,0,'W Fees &amp; KPI'!$Q$27*G221/SUM($G$216:$G$225))</f>
        <v>2778.64928659421</v>
      </c>
      <c r="Z221" s="119" t="n">
        <f aca="false">IF(SUM($G$216:$G$225)=0,0,SUM('W Fees &amp; KPI'!$J$27,'W Fees &amp; KPI'!$M$27)*G221/SUM($G$216:$G$225))</f>
        <v>4611.25</v>
      </c>
      <c r="AA221" s="117" t="n">
        <f aca="false">T221-U221-Z221-Y221</f>
        <v>8720.08019166668</v>
      </c>
      <c r="AB221" s="119" t="n">
        <f aca="false">IF('W Fees &amp; KPI'!$D$27=0,0,T221-U221-Z221)</f>
        <v>11498.7294782609</v>
      </c>
    </row>
    <row r="222" customFormat="false" ht="21" hidden="false" customHeight="true" outlineLevel="0" collapsed="false">
      <c r="C222" s="144" t="n">
        <f aca="false">46905</f>
        <v>46905</v>
      </c>
      <c r="D222" s="81" t="n">
        <f aca="false">2</f>
        <v>2</v>
      </c>
      <c r="E222" s="81" t="str">
        <f aca="false">'W Sites'!C12</f>
        <v>S07</v>
      </c>
      <c r="F222" s="145" t="n">
        <f aca="false">'W Sites'!$G$12*MAX(0,EOMONTH(C222,0)-MAX(C222,'W Sites'!$F$12)+1)/DAY(EOMONTH(C222,0))</f>
        <v>1</v>
      </c>
      <c r="G222" s="145" t="n">
        <f aca="false">'W Sites'!$G$12*MAX(0,EOMONTH(C222,0)-MAX(C222,'W Sites'!$F$12,'W Assumptions'!$D$58)+1)/DAY(EOMONTH(C222,0))</f>
        <v>1</v>
      </c>
      <c r="H222" s="81" t="n">
        <f aca="false">'W Sites'!$H$12*F222*'W Sites'!$I$12*IF(((YEAR(C222)-YEAR('W Sites'!$F$12))*12+MONTH(C222)-MONTH('W Sites'!$F$12))=0,'W Assumptions'!$D$62,IF(((YEAR(C222)-YEAR('W Sites'!$F$12))*12+MONTH(C222)-MONTH('W Sites'!$F$12))=1,'W Assumptions'!$D$63,1))*INDEX('W Assumptions'!$D$7:$F$7,1,D222)*INDEX('W Assumptions'!$D$32:$F$32,1,D222)*INDEX('W Assumptions'!$D$80:$D$91,MONTH(C222),1)/AVERAGE('W Assumptions'!$D$80:$D$91)</f>
        <v>800.8</v>
      </c>
      <c r="I222" s="81" t="n">
        <f aca="false">H222*'W Sites'!$J$12/(1+'W Assumptions'!$D$39)*INDEX('W Assumptions'!$D$12:$F$12,1,D222)*INDEX('W Assumptions'!$D$33:$F$33,1,D222)</f>
        <v>43034.2956521739</v>
      </c>
      <c r="J222" s="81" t="n">
        <f aca="false">H222*'W Sites'!$K$12/(1+'W Assumptions'!$D$39)*INDEX('W Assumptions'!$D$12:$F$12,1,D222)*INDEX('W Assumptions'!$D$33:$F$33,1,D222)</f>
        <v>2151.7147826087</v>
      </c>
      <c r="K222" s="81" t="n">
        <f aca="false">'W Sites'!$L$12*F222*IF(((YEAR(C222)-YEAR('W Sites'!$F$12))*12+MONTH(C222)-MONTH('W Sites'!$F$12))=0,'W Assumptions'!$D$62,IF(((YEAR(C222)-YEAR('W Sites'!$F$12))*12+MONTH(C222)-MONTH('W Sites'!$F$12))=1,'W Assumptions'!$D$63,1))*INDEX('W Assumptions'!$D$7:$F$7,1,D222)*INDEX('W Assumptions'!$D$32:$F$32,1,D222)</f>
        <v>19800</v>
      </c>
      <c r="L222" s="81" t="n">
        <f aca="false">SUM(I222:K222)</f>
        <v>64986.0104347826</v>
      </c>
      <c r="M222" s="81" t="n">
        <f aca="false">'W Site Costs'!$I$12*F222*INDEX('W Assumptions'!$D$34:$F$34,1,D222)*INDEX('W Assumptions'!$D$22:$F$22,1,D222)</f>
        <v>25027.8</v>
      </c>
      <c r="N222" s="81" t="n">
        <f aca="false">'W Site Costs'!$J$12*F222*INDEX('W Assumptions'!$D$35:$F$35,1,D222)*INDEX('W Assumptions'!$D$22:$F$22,1,D222)</f>
        <v>8320</v>
      </c>
      <c r="O222" s="81" t="n">
        <f aca="false">L222*'W Site Costs'!$K$12</f>
        <v>0</v>
      </c>
      <c r="P222" s="81" t="n">
        <f aca="false">SUM('W Site Costs'!$L$12:$Q$12)*F222*INDEX('W Assumptions'!$D$35:$F$35,1,D222)*INDEX('W Assumptions'!$D$22:$F$22,1,D222)</f>
        <v>8840</v>
      </c>
      <c r="Q222" s="81" t="n">
        <f aca="false">L222*'W Site Costs'!$R$12*INDEX('W Assumptions'!$D$17:$F$17,1,D222)</f>
        <v>6498.60104347826</v>
      </c>
      <c r="R222" s="112" t="n">
        <f aca="false">L222*'W Sites'!$M$12</f>
        <v>0</v>
      </c>
      <c r="S222" s="81" t="n">
        <f aca="false">SUM(M222:R222)</f>
        <v>48686.4010434783</v>
      </c>
      <c r="T222" s="81" t="n">
        <f aca="false">L222-S222</f>
        <v>16299.6093913044</v>
      </c>
      <c r="U222" s="81" t="n">
        <f aca="false">IF(C222='W Budget &amp; Owners'!$I$12,'W Budget &amp; Owners'!$F$12*'W Sites'!$G$12,0)</f>
        <v>0</v>
      </c>
      <c r="V222" s="81" t="n">
        <f aca="false">'W Sites'!$G$12*'W Budget &amp; Owners'!$E$12*INDEX('W Assumptions'!$D$27:$F$27,1,D222)*(IF(C222='W Budget &amp; Owners'!$I$12,'W Assumptions'!$D$65,0)+IF(C222=DATE(YEAR('W Sites'!$F$12),MONTH('W Sites'!$F$12),1),1-'W Assumptions'!$D$65,0))+'W Sites'!$G$12*'W Budget &amp; Owners'!$E$12*IF(C222=DATE(2027,9,1),'W Assumptions'!$D$67,IF(C222=DATE(2028,9,1),'W Assumptions'!$D$69,0))</f>
        <v>0</v>
      </c>
      <c r="W222" s="81" t="n">
        <f aca="false">IF(((YEAR(C222)-YEAR('W Sites'!$F$12))*12+MONTH(C222)-MONTH('W Sites'!$F$12))&lt;'W Budget &amp; Owners'!$H$12,'W Budget &amp; Owners'!$E$12/'W Budget &amp; Owners'!$H$12*F222,0)+IF(C222&gt;=DATE(2027,9,1),'W Budget &amp; Owners'!$E$12*'W Assumptions'!$D$67/'W Budget &amp; Owners'!$H$12*F222,0)+IF(C222&gt;=DATE(2028,9,1),'W Budget &amp; Owners'!$E$12*'W Assumptions'!$D$69/'W Budget &amp; Owners'!$H$12*F222,0)</f>
        <v>7650</v>
      </c>
      <c r="X222" s="81" t="n">
        <f aca="false">IF(C222='W Budget &amp; Owners'!$I$12,'W Budget &amp; Owners'!$G$12*'W Sites'!$G$12,0)</f>
        <v>0</v>
      </c>
      <c r="Y222" s="112" t="n">
        <f aca="false">IF(SUM($G$216:$G$225)=0,0,'W Fees &amp; KPI'!$Q$27*G222/SUM($G$216:$G$225))</f>
        <v>2778.64928659421</v>
      </c>
      <c r="Z222" s="119" t="n">
        <f aca="false">IF(SUM($G$216:$G$225)=0,0,SUM('W Fees &amp; KPI'!$J$27,'W Fees &amp; KPI'!$M$27)*G222/SUM($G$216:$G$225))</f>
        <v>4611.25</v>
      </c>
      <c r="AA222" s="117" t="n">
        <f aca="false">T222-U222-Z222-Y222</f>
        <v>8909.71010471015</v>
      </c>
      <c r="AB222" s="119" t="n">
        <f aca="false">IF('W Fees &amp; KPI'!$D$27=0,0,T222-U222-Z222)</f>
        <v>11688.3593913044</v>
      </c>
    </row>
    <row r="223" customFormat="false" ht="21" hidden="false" customHeight="true" outlineLevel="0" collapsed="false">
      <c r="C223" s="144" t="n">
        <f aca="false">46905</f>
        <v>46905</v>
      </c>
      <c r="D223" s="81" t="n">
        <f aca="false">2</f>
        <v>2</v>
      </c>
      <c r="E223" s="81" t="str">
        <f aca="false">'W Sites'!C13</f>
        <v>S08</v>
      </c>
      <c r="F223" s="145" t="n">
        <f aca="false">'W Sites'!$G$13*MAX(0,EOMONTH(C223,0)-MAX(C223,'W Sites'!$F$13)+1)/DAY(EOMONTH(C223,0))</f>
        <v>1</v>
      </c>
      <c r="G223" s="145" t="n">
        <f aca="false">'W Sites'!$G$13*MAX(0,EOMONTH(C223,0)-MAX(C223,'W Sites'!$F$13,'W Assumptions'!$D$58)+1)/DAY(EOMONTH(C223,0))</f>
        <v>1</v>
      </c>
      <c r="H223" s="81" t="n">
        <f aca="false">'W Sites'!$H$13*F223*'W Sites'!$I$13*IF(((YEAR(C223)-YEAR('W Sites'!$F$13))*12+MONTH(C223)-MONTH('W Sites'!$F$13))=0,'W Assumptions'!$D$62,IF(((YEAR(C223)-YEAR('W Sites'!$F$13))*12+MONTH(C223)-MONTH('W Sites'!$F$13))=1,'W Assumptions'!$D$63,1))*INDEX('W Assumptions'!$D$7:$F$7,1,D223)*INDEX('W Assumptions'!$D$32:$F$32,1,D223)*INDEX('W Assumptions'!$D$80:$D$91,MONTH(C223),1)/AVERAGE('W Assumptions'!$D$80:$D$91)</f>
        <v>3432</v>
      </c>
      <c r="I223" s="81" t="n">
        <f aca="false">H223*'W Sites'!$J$13/(1+'W Assumptions'!$D$39)*INDEX('W Assumptions'!$D$12:$F$12,1,D223)*INDEX('W Assumptions'!$D$33:$F$33,1,D223)</f>
        <v>122955.130434783</v>
      </c>
      <c r="J223" s="81" t="n">
        <f aca="false">H223*'W Sites'!$K$13/(1+'W Assumptions'!$D$39)*INDEX('W Assumptions'!$D$12:$F$12,1,D223)*INDEX('W Assumptions'!$D$33:$F$33,1,D223)</f>
        <v>15369.3913043478</v>
      </c>
      <c r="K223" s="81" t="n">
        <f aca="false">'W Sites'!$L$13*F223*IF(((YEAR(C223)-YEAR('W Sites'!$F$13))*12+MONTH(C223)-MONTH('W Sites'!$F$13))=0,'W Assumptions'!$D$62,IF(((YEAR(C223)-YEAR('W Sites'!$F$13))*12+MONTH(C223)-MONTH('W Sites'!$F$13))=1,'W Assumptions'!$D$63,1))*INDEX('W Assumptions'!$D$7:$F$7,1,D223)*INDEX('W Assumptions'!$D$32:$F$32,1,D223)</f>
        <v>16500</v>
      </c>
      <c r="L223" s="81" t="n">
        <f aca="false">SUM(I223:K223)</f>
        <v>154824.52173913</v>
      </c>
      <c r="M223" s="81" t="n">
        <f aca="false">'W Site Costs'!$I$13*F223*INDEX('W Assumptions'!$D$34:$F$34,1,D223)*INDEX('W Assumptions'!$D$22:$F$22,1,D223)</f>
        <v>56002.8</v>
      </c>
      <c r="N223" s="81" t="n">
        <f aca="false">'W Site Costs'!$J$13*F223*INDEX('W Assumptions'!$D$35:$F$35,1,D223)*INDEX('W Assumptions'!$D$22:$F$22,1,D223)</f>
        <v>0</v>
      </c>
      <c r="O223" s="81" t="n">
        <f aca="false">L223*'W Site Costs'!$K$13</f>
        <v>15482.452173913</v>
      </c>
      <c r="P223" s="81" t="n">
        <f aca="false">SUM('W Site Costs'!$L$13:$Q$13)*F223*INDEX('W Assumptions'!$D$35:$F$35,1,D223)*INDEX('W Assumptions'!$D$22:$F$22,1,D223)</f>
        <v>26520</v>
      </c>
      <c r="Q223" s="81" t="n">
        <f aca="false">L223*'W Site Costs'!$R$13*INDEX('W Assumptions'!$D$17:$F$17,1,D223)</f>
        <v>12385.9617391304</v>
      </c>
      <c r="R223" s="112" t="n">
        <f aca="false">L223*'W Sites'!$M$13</f>
        <v>0</v>
      </c>
      <c r="S223" s="81" t="n">
        <f aca="false">SUM(M223:R223)</f>
        <v>110391.213913043</v>
      </c>
      <c r="T223" s="81" t="n">
        <f aca="false">L223-S223</f>
        <v>44433.307826087</v>
      </c>
      <c r="U223" s="81" t="n">
        <f aca="false">IF(C223='W Budget &amp; Owners'!$I$13,'W Budget &amp; Owners'!$F$13*'W Sites'!$G$13,0)</f>
        <v>0</v>
      </c>
      <c r="V223" s="81" t="n">
        <f aca="false">'W Sites'!$G$13*'W Budget &amp; Owners'!$E$13*INDEX('W Assumptions'!$D$27:$F$27,1,D223)*(IF(C223='W Budget &amp; Owners'!$I$13,'W Assumptions'!$D$65,0)+IF(C223=DATE(YEAR('W Sites'!$F$13),MONTH('W Sites'!$F$13),1),1-'W Assumptions'!$D$65,0))+'W Sites'!$G$13*'W Budget &amp; Owners'!$E$13*IF(C223=DATE(2027,9,1),'W Assumptions'!$D$67,IF(C223=DATE(2028,9,1),'W Assumptions'!$D$69,0))</f>
        <v>0</v>
      </c>
      <c r="W223" s="81" t="n">
        <f aca="false">IF(((YEAR(C223)-YEAR('W Sites'!$F$13))*12+MONTH(C223)-MONTH('W Sites'!$F$13))&lt;'W Budget &amp; Owners'!$H$13,'W Budget &amp; Owners'!$E$13/'W Budget &amp; Owners'!$H$13*F223,0)+IF(C223&gt;=DATE(2027,9,1),'W Budget &amp; Owners'!$E$13*'W Assumptions'!$D$67/'W Budget &amp; Owners'!$H$13*F223,0)+IF(C223&gt;=DATE(2028,9,1),'W Budget &amp; Owners'!$E$13*'W Assumptions'!$D$69/'W Budget &amp; Owners'!$H$13*F223,0)</f>
        <v>20400</v>
      </c>
      <c r="X223" s="81" t="n">
        <f aca="false">IF(C223='W Budget &amp; Owners'!$I$13,'W Budget &amp; Owners'!$G$13*'W Sites'!$G$13,0)</f>
        <v>0</v>
      </c>
      <c r="Y223" s="112" t="n">
        <f aca="false">IF(SUM($G$216:$G$225)=0,0,'W Fees &amp; KPI'!$Q$27*G223/SUM($G$216:$G$225))</f>
        <v>2778.64928659421</v>
      </c>
      <c r="Z223" s="119" t="n">
        <f aca="false">IF(SUM($G$216:$G$225)=0,0,SUM('W Fees &amp; KPI'!$J$27,'W Fees &amp; KPI'!$M$27)*G223/SUM($G$216:$G$225))</f>
        <v>4611.25</v>
      </c>
      <c r="AA223" s="117" t="n">
        <f aca="false">T223-U223-Z223-Y223</f>
        <v>37043.4085394928</v>
      </c>
      <c r="AB223" s="119" t="n">
        <f aca="false">IF('W Fees &amp; KPI'!$D$27=0,0,T223-U223-Z223)</f>
        <v>39822.057826087</v>
      </c>
    </row>
    <row r="224" customFormat="false" ht="21" hidden="false" customHeight="true" outlineLevel="0" collapsed="false">
      <c r="C224" s="144" t="n">
        <f aca="false">46905</f>
        <v>46905</v>
      </c>
      <c r="D224" s="81" t="n">
        <f aca="false">2</f>
        <v>2</v>
      </c>
      <c r="E224" s="81" t="str">
        <f aca="false">'W Sites'!C14</f>
        <v>S09</v>
      </c>
      <c r="F224" s="145" t="n">
        <f aca="false">'W Sites'!$G$14*MAX(0,EOMONTH(C224,0)-MAX(C224,'W Sites'!$F$14)+1)/DAY(EOMONTH(C224,0))</f>
        <v>0</v>
      </c>
      <c r="G224" s="145" t="n">
        <f aca="false">'W Sites'!$G$14*MAX(0,EOMONTH(C224,0)-MAX(C224,'W Sites'!$F$14,'W Assumptions'!$D$58)+1)/DAY(EOMONTH(C224,0))</f>
        <v>0</v>
      </c>
      <c r="H224" s="81" t="n">
        <f aca="false">'W Sites'!$H$14*F224*'W Sites'!$I$14*IF(((YEAR(C224)-YEAR('W Sites'!$F$14))*12+MONTH(C224)-MONTH('W Sites'!$F$14))=0,'W Assumptions'!$D$62,IF(((YEAR(C224)-YEAR('W Sites'!$F$14))*12+MONTH(C224)-MONTH('W Sites'!$F$14))=1,'W Assumptions'!$D$63,1))*INDEX('W Assumptions'!$D$7:$F$7,1,D224)*INDEX('W Assumptions'!$D$32:$F$32,1,D224)*INDEX('W Assumptions'!$D$80:$D$91,MONTH(C224),1)/AVERAGE('W Assumptions'!$D$80:$D$91)</f>
        <v>0</v>
      </c>
      <c r="I224" s="81" t="n">
        <f aca="false">H224*'W Sites'!$J$14/(1+'W Assumptions'!$D$39)*INDEX('W Assumptions'!$D$12:$F$12,1,D224)*INDEX('W Assumptions'!$D$33:$F$33,1,D224)</f>
        <v>0</v>
      </c>
      <c r="J224" s="81" t="n">
        <f aca="false">H224*'W Sites'!$K$14/(1+'W Assumptions'!$D$39)*INDEX('W Assumptions'!$D$12:$F$12,1,D224)*INDEX('W Assumptions'!$D$33:$F$33,1,D224)</f>
        <v>0</v>
      </c>
      <c r="K224" s="81" t="n">
        <f aca="false">'W Sites'!$L$14*F224*IF(((YEAR(C224)-YEAR('W Sites'!$F$14))*12+MONTH(C224)-MONTH('W Sites'!$F$14))=0,'W Assumptions'!$D$62,IF(((YEAR(C224)-YEAR('W Sites'!$F$14))*12+MONTH(C224)-MONTH('W Sites'!$F$14))=1,'W Assumptions'!$D$63,1))*INDEX('W Assumptions'!$D$7:$F$7,1,D224)*INDEX('W Assumptions'!$D$32:$F$32,1,D224)</f>
        <v>0</v>
      </c>
      <c r="L224" s="81" t="n">
        <f aca="false">SUM(I224:K224)</f>
        <v>0</v>
      </c>
      <c r="M224" s="81" t="n">
        <f aca="false">'W Site Costs'!$I$14*F224*INDEX('W Assumptions'!$D$34:$F$34,1,D224)*INDEX('W Assumptions'!$D$22:$F$22,1,D224)</f>
        <v>0</v>
      </c>
      <c r="N224" s="81" t="n">
        <f aca="false">'W Site Costs'!$J$14*F224*INDEX('W Assumptions'!$D$35:$F$35,1,D224)*INDEX('W Assumptions'!$D$22:$F$22,1,D224)</f>
        <v>0</v>
      </c>
      <c r="O224" s="81" t="n">
        <f aca="false">L224*'W Site Costs'!$K$14</f>
        <v>0</v>
      </c>
      <c r="P224" s="81" t="n">
        <f aca="false">SUM('W Site Costs'!$L$14:$Q$14)*F224*INDEX('W Assumptions'!$D$35:$F$35,1,D224)*INDEX('W Assumptions'!$D$22:$F$22,1,D224)</f>
        <v>0</v>
      </c>
      <c r="Q224" s="81" t="n">
        <f aca="false">L224*'W Site Costs'!$R$14*INDEX('W Assumptions'!$D$17:$F$17,1,D224)</f>
        <v>0</v>
      </c>
      <c r="R224" s="112" t="n">
        <f aca="false">L224*'W Sites'!$M$14</f>
        <v>0</v>
      </c>
      <c r="S224" s="81" t="n">
        <f aca="false">SUM(M224:R224)</f>
        <v>0</v>
      </c>
      <c r="T224" s="81" t="n">
        <f aca="false">L224-S224</f>
        <v>0</v>
      </c>
      <c r="U224" s="81" t="n">
        <f aca="false">IF(C224='W Budget &amp; Owners'!$I$14,'W Budget &amp; Owners'!$F$14*'W Sites'!$G$14,0)</f>
        <v>0</v>
      </c>
      <c r="V224" s="81" t="n">
        <f aca="false">'W Sites'!$G$14*'W Budget &amp; Owners'!$E$14*INDEX('W Assumptions'!$D$27:$F$27,1,D224)*(IF(C224='W Budget &amp; Owners'!$I$14,'W Assumptions'!$D$65,0)+IF(C224=DATE(YEAR('W Sites'!$F$14),MONTH('W Sites'!$F$14),1),1-'W Assumptions'!$D$65,0))+'W Sites'!$G$14*'W Budget &amp; Owners'!$E$14*IF(C224=DATE(2027,9,1),'W Assumptions'!$D$67,IF(C224=DATE(2028,9,1),'W Assumptions'!$D$69,0))</f>
        <v>0</v>
      </c>
      <c r="W224" s="81" t="n">
        <f aca="false">IF(((YEAR(C224)-YEAR('W Sites'!$F$14))*12+MONTH(C224)-MONTH('W Sites'!$F$14))&lt;'W Budget &amp; Owners'!$H$14,'W Budget &amp; Owners'!$E$14/'W Budget &amp; Owners'!$H$14*F224,0)+IF(C224&gt;=DATE(2027,9,1),'W Budget &amp; Owners'!$E$14*'W Assumptions'!$D$67/'W Budget &amp; Owners'!$H$14*F224,0)+IF(C224&gt;=DATE(2028,9,1),'W Budget &amp; Owners'!$E$14*'W Assumptions'!$D$69/'W Budget &amp; Owners'!$H$14*F224,0)</f>
        <v>0</v>
      </c>
      <c r="X224" s="81" t="n">
        <f aca="false">IF(C224='W Budget &amp; Owners'!$I$14,'W Budget &amp; Owners'!$G$14*'W Sites'!$G$14,0)</f>
        <v>0</v>
      </c>
      <c r="Y224" s="112" t="n">
        <f aca="false">IF(SUM($G$216:$G$225)=0,0,'W Fees &amp; KPI'!$Q$27*G224/SUM($G$216:$G$225))</f>
        <v>0</v>
      </c>
      <c r="Z224" s="119" t="n">
        <f aca="false">IF(SUM($G$216:$G$225)=0,0,SUM('W Fees &amp; KPI'!$J$27,'W Fees &amp; KPI'!$M$27)*G224/SUM($G$216:$G$225))</f>
        <v>0</v>
      </c>
      <c r="AA224" s="117" t="n">
        <f aca="false">T224-U224-Z224-Y224</f>
        <v>0</v>
      </c>
      <c r="AB224" s="119" t="n">
        <f aca="false">IF('W Fees &amp; KPI'!$D$27=0,0,T224-U224-Z224)</f>
        <v>0</v>
      </c>
    </row>
    <row r="225" customFormat="false" ht="21" hidden="false" customHeight="true" outlineLevel="0" collapsed="false">
      <c r="C225" s="144" t="n">
        <f aca="false">46905</f>
        <v>46905</v>
      </c>
      <c r="D225" s="81" t="n">
        <f aca="false">2</f>
        <v>2</v>
      </c>
      <c r="E225" s="81" t="str">
        <f aca="false">'W Sites'!C15</f>
        <v>S10</v>
      </c>
      <c r="F225" s="145" t="n">
        <f aca="false">'W Sites'!$G$15*MAX(0,EOMONTH(C225,0)-MAX(C225,'W Sites'!$F$15)+1)/DAY(EOMONTH(C225,0))</f>
        <v>0</v>
      </c>
      <c r="G225" s="145" t="n">
        <f aca="false">'W Sites'!$G$15*MAX(0,EOMONTH(C225,0)-MAX(C225,'W Sites'!$F$15,'W Assumptions'!$D$58)+1)/DAY(EOMONTH(C225,0))</f>
        <v>0</v>
      </c>
      <c r="H225" s="81" t="n">
        <f aca="false">'W Sites'!$H$15*F225*'W Sites'!$I$15*IF(((YEAR(C225)-YEAR('W Sites'!$F$15))*12+MONTH(C225)-MONTH('W Sites'!$F$15))=0,'W Assumptions'!$D$62,IF(((YEAR(C225)-YEAR('W Sites'!$F$15))*12+MONTH(C225)-MONTH('W Sites'!$F$15))=1,'W Assumptions'!$D$63,1))*INDEX('W Assumptions'!$D$7:$F$7,1,D225)*INDEX('W Assumptions'!$D$32:$F$32,1,D225)*INDEX('W Assumptions'!$D$80:$D$91,MONTH(C225),1)/AVERAGE('W Assumptions'!$D$80:$D$91)</f>
        <v>0</v>
      </c>
      <c r="I225" s="81" t="n">
        <f aca="false">H225*'W Sites'!$J$15/(1+'W Assumptions'!$D$39)*INDEX('W Assumptions'!$D$12:$F$12,1,D225)*INDEX('W Assumptions'!$D$33:$F$33,1,D225)</f>
        <v>0</v>
      </c>
      <c r="J225" s="81" t="n">
        <f aca="false">H225*'W Sites'!$K$15/(1+'W Assumptions'!$D$39)*INDEX('W Assumptions'!$D$12:$F$12,1,D225)*INDEX('W Assumptions'!$D$33:$F$33,1,D225)</f>
        <v>0</v>
      </c>
      <c r="K225" s="81" t="n">
        <f aca="false">'W Sites'!$L$15*F225*IF(((YEAR(C225)-YEAR('W Sites'!$F$15))*12+MONTH(C225)-MONTH('W Sites'!$F$15))=0,'W Assumptions'!$D$62,IF(((YEAR(C225)-YEAR('W Sites'!$F$15))*12+MONTH(C225)-MONTH('W Sites'!$F$15))=1,'W Assumptions'!$D$63,1))*INDEX('W Assumptions'!$D$7:$F$7,1,D225)*INDEX('W Assumptions'!$D$32:$F$32,1,D225)</f>
        <v>0</v>
      </c>
      <c r="L225" s="81" t="n">
        <f aca="false">SUM(I225:K225)</f>
        <v>0</v>
      </c>
      <c r="M225" s="81" t="n">
        <f aca="false">'W Site Costs'!$I$15*F225*INDEX('W Assumptions'!$D$34:$F$34,1,D225)*INDEX('W Assumptions'!$D$22:$F$22,1,D225)</f>
        <v>0</v>
      </c>
      <c r="N225" s="81" t="n">
        <f aca="false">'W Site Costs'!$J$15*F225*INDEX('W Assumptions'!$D$35:$F$35,1,D225)*INDEX('W Assumptions'!$D$22:$F$22,1,D225)</f>
        <v>0</v>
      </c>
      <c r="O225" s="81" t="n">
        <f aca="false">L225*'W Site Costs'!$K$15</f>
        <v>0</v>
      </c>
      <c r="P225" s="81" t="n">
        <f aca="false">SUM('W Site Costs'!$L$15:$Q$15)*F225*INDEX('W Assumptions'!$D$35:$F$35,1,D225)*INDEX('W Assumptions'!$D$22:$F$22,1,D225)</f>
        <v>0</v>
      </c>
      <c r="Q225" s="81" t="n">
        <f aca="false">L225*'W Site Costs'!$R$15*INDEX('W Assumptions'!$D$17:$F$17,1,D225)</f>
        <v>0</v>
      </c>
      <c r="R225" s="112" t="n">
        <f aca="false">L225*'W Sites'!$M$15</f>
        <v>0</v>
      </c>
      <c r="S225" s="81" t="n">
        <f aca="false">SUM(M225:R225)</f>
        <v>0</v>
      </c>
      <c r="T225" s="81" t="n">
        <f aca="false">L225-S225</f>
        <v>0</v>
      </c>
      <c r="U225" s="81" t="n">
        <f aca="false">IF(C225='W Budget &amp; Owners'!$I$15,'W Budget &amp; Owners'!$F$15*'W Sites'!$G$15,0)</f>
        <v>0</v>
      </c>
      <c r="V225" s="81" t="n">
        <f aca="false">'W Sites'!$G$15*'W Budget &amp; Owners'!$E$15*INDEX('W Assumptions'!$D$27:$F$27,1,D225)*(IF(C225='W Budget &amp; Owners'!$I$15,'W Assumptions'!$D$65,0)+IF(C225=DATE(YEAR('W Sites'!$F$15),MONTH('W Sites'!$F$15),1),1-'W Assumptions'!$D$65,0))+'W Sites'!$G$15*'W Budget &amp; Owners'!$E$15*IF(C225=DATE(2027,9,1),'W Assumptions'!$D$67,IF(C225=DATE(2028,9,1),'W Assumptions'!$D$69,0))</f>
        <v>0</v>
      </c>
      <c r="W225" s="81" t="n">
        <f aca="false">IF(((YEAR(C225)-YEAR('W Sites'!$F$15))*12+MONTH(C225)-MONTH('W Sites'!$F$15))&lt;'W Budget &amp; Owners'!$H$15,'W Budget &amp; Owners'!$E$15/'W Budget &amp; Owners'!$H$15*F225,0)+IF(C225&gt;=DATE(2027,9,1),'W Budget &amp; Owners'!$E$15*'W Assumptions'!$D$67/'W Budget &amp; Owners'!$H$15*F225,0)+IF(C225&gt;=DATE(2028,9,1),'W Budget &amp; Owners'!$E$15*'W Assumptions'!$D$69/'W Budget &amp; Owners'!$H$15*F225,0)</f>
        <v>0</v>
      </c>
      <c r="X225" s="81" t="n">
        <f aca="false">IF(C225='W Budget &amp; Owners'!$I$15,'W Budget &amp; Owners'!$G$15*'W Sites'!$G$15,0)</f>
        <v>0</v>
      </c>
      <c r="Y225" s="112" t="n">
        <f aca="false">IF(SUM($G$216:$G$225)=0,0,'W Fees &amp; KPI'!$Q$27*G225/SUM($G$216:$G$225))</f>
        <v>0</v>
      </c>
      <c r="Z225" s="119" t="n">
        <f aca="false">IF(SUM($G$216:$G$225)=0,0,SUM('W Fees &amp; KPI'!$J$27,'W Fees &amp; KPI'!$M$27)*G225/SUM($G$216:$G$225))</f>
        <v>0</v>
      </c>
      <c r="AA225" s="117" t="n">
        <f aca="false">T225-U225-Z225-Y225</f>
        <v>0</v>
      </c>
      <c r="AB225" s="119" t="n">
        <f aca="false">IF('W Fees &amp; KPI'!$D$27=0,0,T225-U225-Z225)</f>
        <v>0</v>
      </c>
    </row>
    <row r="226" customFormat="false" ht="21" hidden="false" customHeight="true" outlineLevel="0" collapsed="false">
      <c r="C226" s="144" t="n">
        <f aca="false">46935</f>
        <v>46935</v>
      </c>
      <c r="D226" s="81" t="n">
        <f aca="false">2</f>
        <v>2</v>
      </c>
      <c r="E226" s="81" t="str">
        <f aca="false">'W Sites'!C6</f>
        <v>S01</v>
      </c>
      <c r="F226" s="145" t="n">
        <f aca="false">'W Sites'!$G$6*MAX(0,EOMONTH(C226,0)-MAX(C226,'W Sites'!$F$6)+1)/DAY(EOMONTH(C226,0))</f>
        <v>1</v>
      </c>
      <c r="G226" s="145" t="n">
        <f aca="false">'W Sites'!$G$6*MAX(0,EOMONTH(C226,0)-MAX(C226,'W Sites'!$F$6,'W Assumptions'!$D$58)+1)/DAY(EOMONTH(C226,0))</f>
        <v>1</v>
      </c>
      <c r="H226" s="81" t="n">
        <f aca="false">'W Sites'!$D$45*INDEX('W Sites'!$E$65:$E$76,MONTH(C226),1)/SUM('W Sites'!$E$65:$E$76)*F226*(1+'W Sites'!$D$56)^(D226-1)*INDEX('W Assumptions'!$D$7:$F$7,1,D226)</f>
        <v>7453.92</v>
      </c>
      <c r="I226" s="81" t="n">
        <f aca="false">H226*'W Sites'!$D$46/(1+'W Sites'!$D$54*'W Assumptions'!$D$39)*INDEX('W Assumptions'!$D$12:$F$12,1,D226)</f>
        <v>409965.6</v>
      </c>
      <c r="J226" s="81" t="n">
        <f aca="false">H226*SUM('W Sites'!$D$47:$D$49)/(1+'W Sites'!$D$54*'W Assumptions'!$D$39)*INDEX('W Assumptions'!$D$12:$F$12,1,D226)</f>
        <v>223617.6</v>
      </c>
      <c r="K226" s="81" t="n">
        <f aca="false">SUM('W Sites'!$D$50:$D$52)/12*F226*(1+'W Sites'!$D$56)^(D226-1)*INDEX('W Assumptions'!$D$7:$F$7,1,D226)*INDEX('W Assumptions'!$D$12:$F$12,1,D226)/(1+'W Sites'!$D$54*'W Assumptions'!$D$39)</f>
        <v>35333.3333333333</v>
      </c>
      <c r="L226" s="81" t="n">
        <f aca="false">SUM(I226:K226)</f>
        <v>668916.533333333</v>
      </c>
      <c r="M226" s="81" t="n">
        <f aca="false">('W Site Costs'!$I$6+INDEX('W Sites'!$F$65:$F$76,MONTH(C226),1)*'W Site Costs'!$V$6)*F226*(1+'W Sites'!$D$58)^(D226-1)*INDEX('W Assumptions'!$D$22:$F$22,1,D226)</f>
        <v>169520</v>
      </c>
      <c r="N226" s="81" t="n">
        <f aca="false">'W Site Costs'!$J$6*F226*INDEX('W Assumptions'!$D$35:$F$35,1,D226)*INDEX('W Assumptions'!$D$22:$F$22,1,D226)</f>
        <v>15600</v>
      </c>
      <c r="O226" s="81" t="n">
        <f aca="false">L226*'W Site Costs'!$K$6</f>
        <v>0</v>
      </c>
      <c r="P226" s="81" t="n">
        <f aca="false">(SUM('W Site Costs'!$L$6:$Q$6)+INDEX('W Sites'!$F$65:$F$76,MONTH(C226),1)*'W Site Costs'!$W$6)*F226*(1+'W Sites'!$D$58)^(D226-1)*INDEX('W Assumptions'!$D$22:$F$22,1,D226)</f>
        <v>111280</v>
      </c>
      <c r="Q226" s="81" t="n">
        <f aca="false">('W Site Costs'!$X$6+INDEX('W Sites'!$F$65:$F$76,MONTH(C226),1)*'W Site Costs'!$Y$6)*F226*(1+'W Sites'!$D$58)^(D226-1)*INDEX('W Assumptions'!$D$17:$F$17,1,D226)</f>
        <v>26000</v>
      </c>
      <c r="R226" s="112" t="n">
        <f aca="false">L226*'W Sites'!$M$6</f>
        <v>0</v>
      </c>
      <c r="S226" s="81" t="n">
        <f aca="false">SUM(M226:R226)</f>
        <v>322400</v>
      </c>
      <c r="T226" s="81" t="n">
        <f aca="false">L226-S226</f>
        <v>346516.533333333</v>
      </c>
      <c r="U226" s="81" t="n">
        <f aca="false">IF(C226='W Budget &amp; Owners'!$I$6,'W Budget &amp; Owners'!$F$6*'W Sites'!$G$6,0)</f>
        <v>0</v>
      </c>
      <c r="V226" s="81" t="n">
        <f aca="false">'W Sites'!$G$6*'W Budget &amp; Owners'!$E$6*INDEX('W Assumptions'!$D$27:$F$27,1,D226)*(IF(C226='W Budget &amp; Owners'!$I$6,'W Assumptions'!$D$65,0)+IF(C226=DATE(YEAR('W Sites'!$F$6),MONTH('W Sites'!$F$6),1),1-'W Assumptions'!$D$65,0))+'W Sites'!$G$6*'W Budget &amp; Owners'!$E$6*IF(C226=DATE(2027,9,1),'W Assumptions'!$D$67,IF(C226=DATE(2028,9,1),'W Assumptions'!$D$69,0))</f>
        <v>0</v>
      </c>
      <c r="W226" s="81" t="n">
        <f aca="false">IF(((YEAR(C226)-YEAR('W Sites'!$F$6))*12+MONTH(C226)-MONTH('W Sites'!$F$6))&lt;'W Budget &amp; Owners'!$H$6,'W Budget &amp; Owners'!$E$6/'W Budget &amp; Owners'!$H$6*F226,0)+IF(C226&gt;=DATE(2027,9,1),'W Budget &amp; Owners'!$E$6*'W Assumptions'!$D$67/'W Budget &amp; Owners'!$H$6*F226,0)+IF(C226&gt;=DATE(2028,9,1),'W Budget &amp; Owners'!$E$6*'W Assumptions'!$D$69/'W Budget &amp; Owners'!$H$6*F226,0)</f>
        <v>5950</v>
      </c>
      <c r="X226" s="81" t="n">
        <f aca="false">IF(C226='W Budget &amp; Owners'!$I$6,'W Budget &amp; Owners'!$G$6*'W Sites'!$G$6,0)</f>
        <v>0</v>
      </c>
      <c r="Y226" s="112" t="n">
        <f aca="false">IF(SUM($G$226:$G$235)=0,0,'W Fees &amp; KPI'!$Q$28*G226/SUM($G$226:$G$235))</f>
        <v>3438.6317865942</v>
      </c>
      <c r="Z226" s="119" t="n">
        <f aca="false">IF(SUM($G$226:$G$235)=0,0,SUM('W Fees &amp; KPI'!$J$28,'W Fees &amp; KPI'!$M$28)*G226/SUM($G$226:$G$235))</f>
        <v>4611.25</v>
      </c>
      <c r="AA226" s="117" t="n">
        <f aca="false">T226-U226-Z226-Y226</f>
        <v>338466.651546739</v>
      </c>
      <c r="AB226" s="119" t="n">
        <f aca="false">IF('W Fees &amp; KPI'!$D$28=0,0,T226-U226-Z226)</f>
        <v>341905.283333333</v>
      </c>
    </row>
    <row r="227" customFormat="false" ht="21" hidden="false" customHeight="true" outlineLevel="0" collapsed="false">
      <c r="C227" s="144" t="n">
        <f aca="false">46935</f>
        <v>46935</v>
      </c>
      <c r="D227" s="81" t="n">
        <f aca="false">2</f>
        <v>2</v>
      </c>
      <c r="E227" s="81" t="str">
        <f aca="false">'W Sites'!C7</f>
        <v>S02</v>
      </c>
      <c r="F227" s="145" t="n">
        <f aca="false">'W Sites'!$G$7*MAX(0,EOMONTH(C227,0)-MAX(C227,'W Sites'!$F$7)+1)/DAY(EOMONTH(C227,0))</f>
        <v>1</v>
      </c>
      <c r="G227" s="145" t="n">
        <f aca="false">'W Sites'!$G$7*MAX(0,EOMONTH(C227,0)-MAX(C227,'W Sites'!$F$7,'W Assumptions'!$D$58)+1)/DAY(EOMONTH(C227,0))</f>
        <v>1</v>
      </c>
      <c r="H227" s="81" t="n">
        <f aca="false">'W Sites'!$H$7*F227*'W Sites'!$I$7*IF(((YEAR(C227)-YEAR('W Sites'!$F$7))*12+MONTH(C227)-MONTH('W Sites'!$F$7))=0,'W Assumptions'!$D$62,IF(((YEAR(C227)-YEAR('W Sites'!$F$7))*12+MONTH(C227)-MONTH('W Sites'!$F$7))=1,'W Assumptions'!$D$63,1))*INDEX('W Assumptions'!$D$7:$F$7,1,D227)*INDEX('W Assumptions'!$D$32:$F$32,1,D227)*INDEX('W Assumptions'!$D$80:$D$91,MONTH(C227),1)/AVERAGE('W Assumptions'!$D$80:$D$91)</f>
        <v>1848</v>
      </c>
      <c r="I227" s="81" t="n">
        <f aca="false">H227*'W Sites'!$J$7/(1+'W Assumptions'!$D$39)*INDEX('W Assumptions'!$D$12:$F$12,1,D227)*INDEX('W Assumptions'!$D$33:$F$33,1,D227)</f>
        <v>57930.7826086957</v>
      </c>
      <c r="J227" s="81" t="n">
        <f aca="false">H227*'W Sites'!$K$7/(1+'W Assumptions'!$D$39)*INDEX('W Assumptions'!$D$12:$F$12,1,D227)*INDEX('W Assumptions'!$D$33:$F$33,1,D227)</f>
        <v>4965.49565217391</v>
      </c>
      <c r="K227" s="81" t="n">
        <f aca="false">'W Sites'!$L$7*F227*IF(((YEAR(C227)-YEAR('W Sites'!$F$7))*12+MONTH(C227)-MONTH('W Sites'!$F$7))=0,'W Assumptions'!$D$62,IF(((YEAR(C227)-YEAR('W Sites'!$F$7))*12+MONTH(C227)-MONTH('W Sites'!$F$7))=1,'W Assumptions'!$D$63,1))*INDEX('W Assumptions'!$D$7:$F$7,1,D227)*INDEX('W Assumptions'!$D$32:$F$32,1,D227)</f>
        <v>5500</v>
      </c>
      <c r="L227" s="81" t="n">
        <f aca="false">SUM(I227:K227)</f>
        <v>68396.2782608696</v>
      </c>
      <c r="M227" s="81" t="n">
        <f aca="false">'W Site Costs'!$I$7*F227*INDEX('W Assumptions'!$D$34:$F$34,1,D227)*INDEX('W Assumptions'!$D$22:$F$22,1,D227)</f>
        <v>34072.5</v>
      </c>
      <c r="N227" s="81" t="n">
        <f aca="false">'W Site Costs'!$J$7*F227*INDEX('W Assumptions'!$D$35:$F$35,1,D227)*INDEX('W Assumptions'!$D$22:$F$22,1,D227)</f>
        <v>0</v>
      </c>
      <c r="O227" s="81" t="n">
        <f aca="false">L227*'W Site Costs'!$K$7</f>
        <v>10259.4417391304</v>
      </c>
      <c r="P227" s="81" t="n">
        <f aca="false">SUM('W Site Costs'!$L$7:$Q$7)*F227*INDEX('W Assumptions'!$D$35:$F$35,1,D227)*INDEX('W Assumptions'!$D$22:$F$22,1,D227)</f>
        <v>12168</v>
      </c>
      <c r="Q227" s="81" t="n">
        <f aca="false">L227*'W Site Costs'!$R$7*INDEX('W Assumptions'!$D$17:$F$17,1,D227)</f>
        <v>4103.77669565217</v>
      </c>
      <c r="R227" s="112" t="n">
        <f aca="false">L227*'W Sites'!$M$7</f>
        <v>0</v>
      </c>
      <c r="S227" s="81" t="n">
        <f aca="false">SUM(M227:R227)</f>
        <v>60603.7184347826</v>
      </c>
      <c r="T227" s="81" t="n">
        <f aca="false">L227-S227</f>
        <v>7792.55982608696</v>
      </c>
      <c r="U227" s="81" t="n">
        <f aca="false">IF(C227='W Budget &amp; Owners'!$I$7,'W Budget &amp; Owners'!$F$7*'W Sites'!$G$7,0)</f>
        <v>0</v>
      </c>
      <c r="V227" s="81" t="n">
        <f aca="false">'W Sites'!$G$7*'W Budget &amp; Owners'!$E$7*INDEX('W Assumptions'!$D$27:$F$27,1,D227)*(IF(C227='W Budget &amp; Owners'!$I$7,'W Assumptions'!$D$65,0)+IF(C227=DATE(YEAR('W Sites'!$F$7),MONTH('W Sites'!$F$7),1),1-'W Assumptions'!$D$65,0))+'W Sites'!$G$7*'W Budget &amp; Owners'!$E$7*IF(C227=DATE(2027,9,1),'W Assumptions'!$D$67,IF(C227=DATE(2028,9,1),'W Assumptions'!$D$69,0))</f>
        <v>0</v>
      </c>
      <c r="W227" s="81" t="n">
        <f aca="false">IF(((YEAR(C227)-YEAR('W Sites'!$F$7))*12+MONTH(C227)-MONTH('W Sites'!$F$7))&lt;'W Budget &amp; Owners'!$H$7,'W Budget &amp; Owners'!$E$7/'W Budget &amp; Owners'!$H$7*F227,0)+IF(C227&gt;=DATE(2027,9,1),'W Budget &amp; Owners'!$E$7*'W Assumptions'!$D$67/'W Budget &amp; Owners'!$H$7*F227,0)+IF(C227&gt;=DATE(2028,9,1),'W Budget &amp; Owners'!$E$7*'W Assumptions'!$D$69/'W Budget &amp; Owners'!$H$7*F227,0)</f>
        <v>1360</v>
      </c>
      <c r="X227" s="81" t="n">
        <f aca="false">IF(C227='W Budget &amp; Owners'!$I$7,'W Budget &amp; Owners'!$G$7*'W Sites'!$G$7,0)</f>
        <v>0</v>
      </c>
      <c r="Y227" s="112" t="n">
        <f aca="false">IF(SUM($G$226:$G$235)=0,0,'W Fees &amp; KPI'!$Q$28*G227/SUM($G$226:$G$235))</f>
        <v>3438.6317865942</v>
      </c>
      <c r="Z227" s="119" t="n">
        <f aca="false">IF(SUM($G$226:$G$235)=0,0,SUM('W Fees &amp; KPI'!$J$28,'W Fees &amp; KPI'!$M$28)*G227/SUM($G$226:$G$235))</f>
        <v>4611.25</v>
      </c>
      <c r="AA227" s="117" t="n">
        <f aca="false">T227-U227-Z227-Y227</f>
        <v>-257.321960507245</v>
      </c>
      <c r="AB227" s="119" t="n">
        <f aca="false">IF('W Fees &amp; KPI'!$D$28=0,0,T227-U227-Z227)</f>
        <v>3181.30982608696</v>
      </c>
    </row>
    <row r="228" customFormat="false" ht="21" hidden="false" customHeight="true" outlineLevel="0" collapsed="false">
      <c r="C228" s="144" t="n">
        <f aca="false">46935</f>
        <v>46935</v>
      </c>
      <c r="D228" s="81" t="n">
        <f aca="false">2</f>
        <v>2</v>
      </c>
      <c r="E228" s="81" t="str">
        <f aca="false">'W Sites'!C8</f>
        <v>S03</v>
      </c>
      <c r="F228" s="145" t="n">
        <f aca="false">'W Sites'!$G$8*MAX(0,EOMONTH(C228,0)-MAX(C228,'W Sites'!$F$8)+1)/DAY(EOMONTH(C228,0))</f>
        <v>1</v>
      </c>
      <c r="G228" s="145" t="n">
        <f aca="false">'W Sites'!$G$8*MAX(0,EOMONTH(C228,0)-MAX(C228,'W Sites'!$F$8,'W Assumptions'!$D$58)+1)/DAY(EOMONTH(C228,0))</f>
        <v>1</v>
      </c>
      <c r="H228" s="81" t="n">
        <f aca="false">'W Sites'!$H$8*F228*'W Sites'!$I$8*IF(((YEAR(C228)-YEAR('W Sites'!$F$8))*12+MONTH(C228)-MONTH('W Sites'!$F$8))=0,'W Assumptions'!$D$62,IF(((YEAR(C228)-YEAR('W Sites'!$F$8))*12+MONTH(C228)-MONTH('W Sites'!$F$8))=1,'W Assumptions'!$D$63,1))*INDEX('W Assumptions'!$D$7:$F$7,1,D228)*INDEX('W Assumptions'!$D$32:$F$32,1,D228)*INDEX('W Assumptions'!$D$80:$D$91,MONTH(C228),1)/AVERAGE('W Assumptions'!$D$80:$D$91)</f>
        <v>2495.34246575343</v>
      </c>
      <c r="I228" s="81" t="n">
        <f aca="false">H228*'W Sites'!$J$8/(1+'W Assumptions'!$D$39)*INDEX('W Assumptions'!$D$12:$F$12,1,D228)*INDEX('W Assumptions'!$D$33:$F$33,1,D228)</f>
        <v>145272.328767123</v>
      </c>
      <c r="J228" s="81" t="n">
        <f aca="false">H228*'W Sites'!$K$8/(1+'W Assumptions'!$D$39)*INDEX('W Assumptions'!$D$12:$F$12,1,D228)*INDEX('W Assumptions'!$D$33:$F$33,1,D228)</f>
        <v>17879.6712328767</v>
      </c>
      <c r="K228" s="81" t="n">
        <f aca="false">'W Sites'!$L$8*F228*IF(((YEAR(C228)-YEAR('W Sites'!$F$8))*12+MONTH(C228)-MONTH('W Sites'!$F$8))=0,'W Assumptions'!$D$62,IF(((YEAR(C228)-YEAR('W Sites'!$F$8))*12+MONTH(C228)-MONTH('W Sites'!$F$8))=1,'W Assumptions'!$D$63,1))*INDEX('W Assumptions'!$D$7:$F$7,1,D228)*INDEX('W Assumptions'!$D$32:$F$32,1,D228)</f>
        <v>22000</v>
      </c>
      <c r="L228" s="81" t="n">
        <f aca="false">SUM(I228:K228)</f>
        <v>185152</v>
      </c>
      <c r="M228" s="81" t="n">
        <f aca="false">'W Site Costs'!$I$8*F228*INDEX('W Assumptions'!$D$34:$F$34,1,D228)*INDEX('W Assumptions'!$D$22:$F$22,1,D228)</f>
        <v>50427.3</v>
      </c>
      <c r="N228" s="81" t="n">
        <f aca="false">'W Site Costs'!$J$8*F228*INDEX('W Assumptions'!$D$35:$F$35,1,D228)*INDEX('W Assumptions'!$D$22:$F$22,1,D228)</f>
        <v>36400</v>
      </c>
      <c r="O228" s="81" t="n">
        <f aca="false">L228*'W Site Costs'!$K$8</f>
        <v>0</v>
      </c>
      <c r="P228" s="81" t="n">
        <f aca="false">SUM('W Site Costs'!$L$8:$Q$8)*F228*INDEX('W Assumptions'!$D$35:$F$35,1,D228)*INDEX('W Assumptions'!$D$22:$F$22,1,D228)</f>
        <v>20280</v>
      </c>
      <c r="Q228" s="81" t="n">
        <f aca="false">L228*'W Site Costs'!$R$8*INDEX('W Assumptions'!$D$17:$F$17,1,D228)</f>
        <v>14812.16</v>
      </c>
      <c r="R228" s="112" t="n">
        <f aca="false">L228*'W Sites'!$M$8</f>
        <v>0</v>
      </c>
      <c r="S228" s="81" t="n">
        <f aca="false">SUM(M228:R228)</f>
        <v>121919.46</v>
      </c>
      <c r="T228" s="81" t="n">
        <f aca="false">L228-S228</f>
        <v>63232.5400000001</v>
      </c>
      <c r="U228" s="81" t="n">
        <f aca="false">IF(C228='W Budget &amp; Owners'!$I$8,'W Budget &amp; Owners'!$F$8*'W Sites'!$G$8,0)</f>
        <v>0</v>
      </c>
      <c r="V228" s="81" t="n">
        <f aca="false">'W Sites'!$G$8*'W Budget &amp; Owners'!$E$8*INDEX('W Assumptions'!$D$27:$F$27,1,D228)*(IF(C228='W Budget &amp; Owners'!$I$8,'W Assumptions'!$D$65,0)+IF(C228=DATE(YEAR('W Sites'!$F$8),MONTH('W Sites'!$F$8),1),1-'W Assumptions'!$D$65,0))+'W Sites'!$G$8*'W Budget &amp; Owners'!$E$8*IF(C228=DATE(2027,9,1),'W Assumptions'!$D$67,IF(C228=DATE(2028,9,1),'W Assumptions'!$D$69,0))</f>
        <v>0</v>
      </c>
      <c r="W228" s="81" t="n">
        <f aca="false">IF(((YEAR(C228)-YEAR('W Sites'!$F$8))*12+MONTH(C228)-MONTH('W Sites'!$F$8))&lt;'W Budget &amp; Owners'!$H$8,'W Budget &amp; Owners'!$E$8/'W Budget &amp; Owners'!$H$8*F228,0)+IF(C228&gt;=DATE(2027,9,1),'W Budget &amp; Owners'!$E$8*'W Assumptions'!$D$67/'W Budget &amp; Owners'!$H$8*F228,0)+IF(C228&gt;=DATE(2028,9,1),'W Budget &amp; Owners'!$E$8*'W Assumptions'!$D$69/'W Budget &amp; Owners'!$H$8*F228,0)</f>
        <v>10200</v>
      </c>
      <c r="X228" s="81" t="n">
        <f aca="false">IF(C228='W Budget &amp; Owners'!$I$8,'W Budget &amp; Owners'!$G$8*'W Sites'!$G$8,0)</f>
        <v>0</v>
      </c>
      <c r="Y228" s="112" t="n">
        <f aca="false">IF(SUM($G$226:$G$235)=0,0,'W Fees &amp; KPI'!$Q$28*G228/SUM($G$226:$G$235))</f>
        <v>3438.6317865942</v>
      </c>
      <c r="Z228" s="119" t="n">
        <f aca="false">IF(SUM($G$226:$G$235)=0,0,SUM('W Fees &amp; KPI'!$J$28,'W Fees &amp; KPI'!$M$28)*G228/SUM($G$226:$G$235))</f>
        <v>4611.25</v>
      </c>
      <c r="AA228" s="117" t="n">
        <f aca="false">T228-U228-Z228-Y228</f>
        <v>55182.6582134059</v>
      </c>
      <c r="AB228" s="119" t="n">
        <f aca="false">IF('W Fees &amp; KPI'!$D$28=0,0,T228-U228-Z228)</f>
        <v>58621.2900000001</v>
      </c>
    </row>
    <row r="229" customFormat="false" ht="21" hidden="false" customHeight="true" outlineLevel="0" collapsed="false">
      <c r="C229" s="144" t="n">
        <f aca="false">46935</f>
        <v>46935</v>
      </c>
      <c r="D229" s="81" t="n">
        <f aca="false">2</f>
        <v>2</v>
      </c>
      <c r="E229" s="81" t="str">
        <f aca="false">'W Sites'!C9</f>
        <v>S04</v>
      </c>
      <c r="F229" s="145" t="n">
        <f aca="false">'W Sites'!$G$9*MAX(0,EOMONTH(C229,0)-MAX(C229,'W Sites'!$F$9)+1)/DAY(EOMONTH(C229,0))</f>
        <v>1</v>
      </c>
      <c r="G229" s="145" t="n">
        <f aca="false">'W Sites'!$G$9*MAX(0,EOMONTH(C229,0)-MAX(C229,'W Sites'!$F$9,'W Assumptions'!$D$58)+1)/DAY(EOMONTH(C229,0))</f>
        <v>1</v>
      </c>
      <c r="H229" s="81" t="n">
        <f aca="false">'W Sites'!$H$9*F229*'W Sites'!$I$9*IF(((YEAR(C229)-YEAR('W Sites'!$F$9))*12+MONTH(C229)-MONTH('W Sites'!$F$9))=0,'W Assumptions'!$D$62,IF(((YEAR(C229)-YEAR('W Sites'!$F$9))*12+MONTH(C229)-MONTH('W Sites'!$F$9))=1,'W Assumptions'!$D$63,1))*INDEX('W Assumptions'!$D$7:$F$7,1,D229)*INDEX('W Assumptions'!$D$32:$F$32,1,D229)*INDEX('W Assumptions'!$D$80:$D$91,MONTH(C229),1)/AVERAGE('W Assumptions'!$D$80:$D$91)</f>
        <v>1756.94444444444</v>
      </c>
      <c r="I229" s="81" t="n">
        <f aca="false">H229*'W Sites'!$J$9/(1+'W Assumptions'!$D$39)*INDEX('W Assumptions'!$D$12:$F$12,1,D229)*INDEX('W Assumptions'!$D$33:$F$33,1,D229)</f>
        <v>102284.722222222</v>
      </c>
      <c r="J229" s="81" t="n">
        <f aca="false">H229*'W Sites'!$K$9/(1+'W Assumptions'!$D$39)*INDEX('W Assumptions'!$D$12:$F$12,1,D229)*INDEX('W Assumptions'!$D$33:$F$33,1,D229)</f>
        <v>11015.2777777778</v>
      </c>
      <c r="K229" s="81" t="n">
        <f aca="false">'W Sites'!$L$9*F229*IF(((YEAR(C229)-YEAR('W Sites'!$F$9))*12+MONTH(C229)-MONTH('W Sites'!$F$9))=0,'W Assumptions'!$D$62,IF(((YEAR(C229)-YEAR('W Sites'!$F$9))*12+MONTH(C229)-MONTH('W Sites'!$F$9))=1,'W Assumptions'!$D$63,1))*INDEX('W Assumptions'!$D$7:$F$7,1,D229)*INDEX('W Assumptions'!$D$32:$F$32,1,D229)</f>
        <v>16500</v>
      </c>
      <c r="L229" s="81" t="n">
        <f aca="false">SUM(I229:K229)</f>
        <v>129800</v>
      </c>
      <c r="M229" s="81" t="n">
        <f aca="false">'W Site Costs'!$I$9*F229*INDEX('W Assumptions'!$D$34:$F$34,1,D229)*INDEX('W Assumptions'!$D$22:$F$22,1,D229)</f>
        <v>39648</v>
      </c>
      <c r="N229" s="81" t="n">
        <f aca="false">'W Site Costs'!$J$9*F229*INDEX('W Assumptions'!$D$35:$F$35,1,D229)*INDEX('W Assumptions'!$D$22:$F$22,1,D229)</f>
        <v>22880</v>
      </c>
      <c r="O229" s="81" t="n">
        <f aca="false">L229*'W Site Costs'!$K$9</f>
        <v>0</v>
      </c>
      <c r="P229" s="81" t="n">
        <f aca="false">SUM('W Site Costs'!$L$9:$Q$9)*F229*INDEX('W Assumptions'!$D$35:$F$35,1,D229)*INDEX('W Assumptions'!$D$22:$F$22,1,D229)</f>
        <v>16120</v>
      </c>
      <c r="Q229" s="81" t="n">
        <f aca="false">L229*'W Site Costs'!$R$9*INDEX('W Assumptions'!$D$17:$F$17,1,D229)</f>
        <v>10384</v>
      </c>
      <c r="R229" s="112" t="n">
        <f aca="false">L229*'W Sites'!$M$9</f>
        <v>0</v>
      </c>
      <c r="S229" s="81" t="n">
        <f aca="false">SUM(M229:R229)</f>
        <v>89032</v>
      </c>
      <c r="T229" s="81" t="n">
        <f aca="false">L229-S229</f>
        <v>40768</v>
      </c>
      <c r="U229" s="81" t="n">
        <f aca="false">IF(C229='W Budget &amp; Owners'!$I$9,'W Budget &amp; Owners'!$F$9*'W Sites'!$G$9,0)</f>
        <v>0</v>
      </c>
      <c r="V229" s="81" t="n">
        <f aca="false">'W Sites'!$G$9*'W Budget &amp; Owners'!$E$9*INDEX('W Assumptions'!$D$27:$F$27,1,D229)*(IF(C229='W Budget &amp; Owners'!$I$9,'W Assumptions'!$D$65,0)+IF(C229=DATE(YEAR('W Sites'!$F$9),MONTH('W Sites'!$F$9),1),1-'W Assumptions'!$D$65,0))+'W Sites'!$G$9*'W Budget &amp; Owners'!$E$9*IF(C229=DATE(2027,9,1),'W Assumptions'!$D$67,IF(C229=DATE(2028,9,1),'W Assumptions'!$D$69,0))</f>
        <v>0</v>
      </c>
      <c r="W229" s="81" t="n">
        <f aca="false">IF(((YEAR(C229)-YEAR('W Sites'!$F$9))*12+MONTH(C229)-MONTH('W Sites'!$F$9))&lt;'W Budget &amp; Owners'!$H$9,'W Budget &amp; Owners'!$E$9/'W Budget &amp; Owners'!$H$9*F229,0)+IF(C229&gt;=DATE(2027,9,1),'W Budget &amp; Owners'!$E$9*'W Assumptions'!$D$67/'W Budget &amp; Owners'!$H$9*F229,0)+IF(C229&gt;=DATE(2028,9,1),'W Budget &amp; Owners'!$E$9*'W Assumptions'!$D$69/'W Budget &amp; Owners'!$H$9*F229,0)</f>
        <v>8500</v>
      </c>
      <c r="X229" s="81" t="n">
        <f aca="false">IF(C229='W Budget &amp; Owners'!$I$9,'W Budget &amp; Owners'!$G$9*'W Sites'!$G$9,0)</f>
        <v>0</v>
      </c>
      <c r="Y229" s="112" t="n">
        <f aca="false">IF(SUM($G$226:$G$235)=0,0,'W Fees &amp; KPI'!$Q$28*G229/SUM($G$226:$G$235))</f>
        <v>3438.6317865942</v>
      </c>
      <c r="Z229" s="119" t="n">
        <f aca="false">IF(SUM($G$226:$G$235)=0,0,SUM('W Fees &amp; KPI'!$J$28,'W Fees &amp; KPI'!$M$28)*G229/SUM($G$226:$G$235))</f>
        <v>4611.25</v>
      </c>
      <c r="AA229" s="117" t="n">
        <f aca="false">T229-U229-Z229-Y229</f>
        <v>32718.1182134058</v>
      </c>
      <c r="AB229" s="119" t="n">
        <f aca="false">IF('W Fees &amp; KPI'!$D$28=0,0,T229-U229-Z229)</f>
        <v>36156.75</v>
      </c>
    </row>
    <row r="230" customFormat="false" ht="21" hidden="false" customHeight="true" outlineLevel="0" collapsed="false">
      <c r="C230" s="144" t="n">
        <f aca="false">46935</f>
        <v>46935</v>
      </c>
      <c r="D230" s="81" t="n">
        <f aca="false">2</f>
        <v>2</v>
      </c>
      <c r="E230" s="81" t="str">
        <f aca="false">'W Sites'!C10</f>
        <v>S05</v>
      </c>
      <c r="F230" s="145" t="n">
        <f aca="false">'W Sites'!$G$10*MAX(0,EOMONTH(C230,0)-MAX(C230,'W Sites'!$F$10)+1)/DAY(EOMONTH(C230,0))</f>
        <v>1</v>
      </c>
      <c r="G230" s="145" t="n">
        <f aca="false">'W Sites'!$G$10*MAX(0,EOMONTH(C230,0)-MAX(C230,'W Sites'!$F$10,'W Assumptions'!$D$58)+1)/DAY(EOMONTH(C230,0))</f>
        <v>1</v>
      </c>
      <c r="H230" s="81" t="n">
        <f aca="false">'W Sites'!$H$10*F230*'W Sites'!$I$10*IF(((YEAR(C230)-YEAR('W Sites'!$F$10))*12+MONTH(C230)-MONTH('W Sites'!$F$10))=0,'W Assumptions'!$D$62,IF(((YEAR(C230)-YEAR('W Sites'!$F$10))*12+MONTH(C230)-MONTH('W Sites'!$F$10))=1,'W Assumptions'!$D$63,1))*INDEX('W Assumptions'!$D$7:$F$7,1,D230)*INDEX('W Assumptions'!$D$32:$F$32,1,D230)*INDEX('W Assumptions'!$D$80:$D$91,MONTH(C230),1)/AVERAGE('W Assumptions'!$D$80:$D$91)</f>
        <v>2245.80821917808</v>
      </c>
      <c r="I230" s="81" t="n">
        <f aca="false">H230*'W Sites'!$J$10/(1+'W Assumptions'!$D$39)*INDEX('W Assumptions'!$D$12:$F$12,1,D230)*INDEX('W Assumptions'!$D$33:$F$33,1,D230)</f>
        <v>130745.095890411</v>
      </c>
      <c r="J230" s="81" t="n">
        <f aca="false">H230*'W Sites'!$K$10/(1+'W Assumptions'!$D$39)*INDEX('W Assumptions'!$D$12:$F$12,1,D230)*INDEX('W Assumptions'!$D$33:$F$33,1,D230)</f>
        <v>16091.704109589</v>
      </c>
      <c r="K230" s="81" t="n">
        <f aca="false">'W Sites'!$L$10*F230*IF(((YEAR(C230)-YEAR('W Sites'!$F$10))*12+MONTH(C230)-MONTH('W Sites'!$F$10))=0,'W Assumptions'!$D$62,IF(((YEAR(C230)-YEAR('W Sites'!$F$10))*12+MONTH(C230)-MONTH('W Sites'!$F$10))=1,'W Assumptions'!$D$63,1))*INDEX('W Assumptions'!$D$7:$F$7,1,D230)*INDEX('W Assumptions'!$D$32:$F$32,1,D230)</f>
        <v>19800</v>
      </c>
      <c r="L230" s="81" t="n">
        <f aca="false">SUM(I230:K230)</f>
        <v>166636.8</v>
      </c>
      <c r="M230" s="81" t="n">
        <f aca="false">'W Site Costs'!$I$10*F230*INDEX('W Assumptions'!$D$34:$F$34,1,D230)*INDEX('W Assumptions'!$D$22:$F$22,1,D230)</f>
        <v>50427.3</v>
      </c>
      <c r="N230" s="81" t="n">
        <f aca="false">'W Site Costs'!$J$10*F230*INDEX('W Assumptions'!$D$35:$F$35,1,D230)*INDEX('W Assumptions'!$D$22:$F$22,1,D230)</f>
        <v>31200</v>
      </c>
      <c r="O230" s="81" t="n">
        <f aca="false">L230*'W Site Costs'!$K$10</f>
        <v>0</v>
      </c>
      <c r="P230" s="81" t="n">
        <f aca="false">SUM('W Site Costs'!$L$10:$Q$10)*F230*INDEX('W Assumptions'!$D$35:$F$35,1,D230)*INDEX('W Assumptions'!$D$22:$F$22,1,D230)</f>
        <v>19760</v>
      </c>
      <c r="Q230" s="81" t="n">
        <f aca="false">L230*'W Site Costs'!$R$10*INDEX('W Assumptions'!$D$17:$F$17,1,D230)</f>
        <v>13330.944</v>
      </c>
      <c r="R230" s="112" t="n">
        <f aca="false">L230*'W Sites'!$M$10</f>
        <v>0</v>
      </c>
      <c r="S230" s="81" t="n">
        <f aca="false">SUM(M230:R230)</f>
        <v>114718.244</v>
      </c>
      <c r="T230" s="81" t="n">
        <f aca="false">L230-S230</f>
        <v>51918.556</v>
      </c>
      <c r="U230" s="81" t="n">
        <f aca="false">IF(C230='W Budget &amp; Owners'!$I$10,'W Budget &amp; Owners'!$F$10*'W Sites'!$G$10,0)</f>
        <v>0</v>
      </c>
      <c r="V230" s="81" t="n">
        <f aca="false">'W Sites'!$G$10*'W Budget &amp; Owners'!$E$10*INDEX('W Assumptions'!$D$27:$F$27,1,D230)*(IF(C230='W Budget &amp; Owners'!$I$10,'W Assumptions'!$D$65,0)+IF(C230=DATE(YEAR('W Sites'!$F$10),MONTH('W Sites'!$F$10),1),1-'W Assumptions'!$D$65,0))+'W Sites'!$G$10*'W Budget &amp; Owners'!$E$10*IF(C230=DATE(2027,9,1),'W Assumptions'!$D$67,IF(C230=DATE(2028,9,1),'W Assumptions'!$D$69,0))</f>
        <v>0</v>
      </c>
      <c r="W230" s="81" t="n">
        <f aca="false">IF(((YEAR(C230)-YEAR('W Sites'!$F$10))*12+MONTH(C230)-MONTH('W Sites'!$F$10))&lt;'W Budget &amp; Owners'!$H$10,'W Budget &amp; Owners'!$E$10/'W Budget &amp; Owners'!$H$10*F230,0)+IF(C230&gt;=DATE(2027,9,1),'W Budget &amp; Owners'!$E$10*'W Assumptions'!$D$67/'W Budget &amp; Owners'!$H$10*F230,0)+IF(C230&gt;=DATE(2028,9,1),'W Budget &amp; Owners'!$E$10*'W Assumptions'!$D$69/'W Budget &amp; Owners'!$H$10*F230,0)</f>
        <v>12750</v>
      </c>
      <c r="X230" s="81" t="n">
        <f aca="false">IF(C230='W Budget &amp; Owners'!$I$10,'W Budget &amp; Owners'!$G$10*'W Sites'!$G$10,0)</f>
        <v>0</v>
      </c>
      <c r="Y230" s="112" t="n">
        <f aca="false">IF(SUM($G$226:$G$235)=0,0,'W Fees &amp; KPI'!$Q$28*G230/SUM($G$226:$G$235))</f>
        <v>3438.6317865942</v>
      </c>
      <c r="Z230" s="119" t="n">
        <f aca="false">IF(SUM($G$226:$G$235)=0,0,SUM('W Fees &amp; KPI'!$J$28,'W Fees &amp; KPI'!$M$28)*G230/SUM($G$226:$G$235))</f>
        <v>4611.25</v>
      </c>
      <c r="AA230" s="117" t="n">
        <f aca="false">T230-U230-Z230-Y230</f>
        <v>43868.6742134058</v>
      </c>
      <c r="AB230" s="119" t="n">
        <f aca="false">IF('W Fees &amp; KPI'!$D$28=0,0,T230-U230-Z230)</f>
        <v>47307.306</v>
      </c>
    </row>
    <row r="231" customFormat="false" ht="21" hidden="false" customHeight="true" outlineLevel="0" collapsed="false">
      <c r="C231" s="144" t="n">
        <f aca="false">46935</f>
        <v>46935</v>
      </c>
      <c r="D231" s="81" t="n">
        <f aca="false">2</f>
        <v>2</v>
      </c>
      <c r="E231" s="81" t="str">
        <f aca="false">'W Sites'!C11</f>
        <v>S06</v>
      </c>
      <c r="F231" s="145" t="n">
        <f aca="false">'W Sites'!$G$11*MAX(0,EOMONTH(C231,0)-MAX(C231,'W Sites'!$F$11)+1)/DAY(EOMONTH(C231,0))</f>
        <v>1</v>
      </c>
      <c r="G231" s="145" t="n">
        <f aca="false">'W Sites'!$G$11*MAX(0,EOMONTH(C231,0)-MAX(C231,'W Sites'!$F$11,'W Assumptions'!$D$58)+1)/DAY(EOMONTH(C231,0))</f>
        <v>1</v>
      </c>
      <c r="H231" s="81" t="n">
        <f aca="false">'W Sites'!$H$11*F231*'W Sites'!$I$11*IF(((YEAR(C231)-YEAR('W Sites'!$F$11))*12+MONTH(C231)-MONTH('W Sites'!$F$11))=0,'W Assumptions'!$D$62,IF(((YEAR(C231)-YEAR('W Sites'!$F$11))*12+MONTH(C231)-MONTH('W Sites'!$F$11))=1,'W Assumptions'!$D$63,1))*INDEX('W Assumptions'!$D$7:$F$7,1,D231)*INDEX('W Assumptions'!$D$32:$F$32,1,D231)*INDEX('W Assumptions'!$D$80:$D$91,MONTH(C231),1)/AVERAGE('W Assumptions'!$D$80:$D$91)</f>
        <v>686.4</v>
      </c>
      <c r="I231" s="81" t="n">
        <f aca="false">H231*'W Sites'!$J$11/(1+'W Assumptions'!$D$39)*INDEX('W Assumptions'!$D$12:$F$12,1,D231)*INDEX('W Assumptions'!$D$33:$F$33,1,D231)</f>
        <v>36886.5391304348</v>
      </c>
      <c r="J231" s="81" t="n">
        <f aca="false">H231*'W Sites'!$K$11/(1+'W Assumptions'!$D$39)*INDEX('W Assumptions'!$D$12:$F$12,1,D231)*INDEX('W Assumptions'!$D$33:$F$33,1,D231)</f>
        <v>1844.32695652174</v>
      </c>
      <c r="K231" s="81" t="n">
        <f aca="false">'W Sites'!$L$11*F231*IF(((YEAR(C231)-YEAR('W Sites'!$F$11))*12+MONTH(C231)-MONTH('W Sites'!$F$11))=0,'W Assumptions'!$D$62,IF(((YEAR(C231)-YEAR('W Sites'!$F$11))*12+MONTH(C231)-MONTH('W Sites'!$F$11))=1,'W Assumptions'!$D$63,1))*INDEX('W Assumptions'!$D$7:$F$7,1,D231)*INDEX('W Assumptions'!$D$32:$F$32,1,D231)</f>
        <v>22000</v>
      </c>
      <c r="L231" s="81" t="n">
        <f aca="false">SUM(I231:K231)</f>
        <v>60730.8660869565</v>
      </c>
      <c r="M231" s="81" t="n">
        <f aca="false">'W Site Costs'!$I$11*F231*INDEX('W Assumptions'!$D$34:$F$34,1,D231)*INDEX('W Assumptions'!$D$22:$F$22,1,D231)</f>
        <v>25027.8</v>
      </c>
      <c r="N231" s="81" t="n">
        <f aca="false">'W Site Costs'!$J$11*F231*INDEX('W Assumptions'!$D$35:$F$35,1,D231)*INDEX('W Assumptions'!$D$22:$F$22,1,D231)</f>
        <v>5200</v>
      </c>
      <c r="O231" s="81" t="n">
        <f aca="false">L231*'W Site Costs'!$K$11</f>
        <v>0</v>
      </c>
      <c r="P231" s="81" t="n">
        <f aca="false">SUM('W Site Costs'!$L$11:$Q$11)*F231*INDEX('W Assumptions'!$D$35:$F$35,1,D231)*INDEX('W Assumptions'!$D$22:$F$22,1,D231)</f>
        <v>8320</v>
      </c>
      <c r="Q231" s="81" t="n">
        <f aca="false">L231*'W Site Costs'!$R$11*INDEX('W Assumptions'!$D$17:$F$17,1,D231)</f>
        <v>6073.08660869565</v>
      </c>
      <c r="R231" s="112" t="n">
        <f aca="false">L231*'W Sites'!$M$11</f>
        <v>0</v>
      </c>
      <c r="S231" s="81" t="n">
        <f aca="false">SUM(M231:R231)</f>
        <v>44620.8866086957</v>
      </c>
      <c r="T231" s="81" t="n">
        <f aca="false">L231-S231</f>
        <v>16109.9794782609</v>
      </c>
      <c r="U231" s="81" t="n">
        <f aca="false">IF(C231='W Budget &amp; Owners'!$I$11,'W Budget &amp; Owners'!$F$11*'W Sites'!$G$11,0)</f>
        <v>0</v>
      </c>
      <c r="V231" s="81" t="n">
        <f aca="false">'W Sites'!$G$11*'W Budget &amp; Owners'!$E$11*INDEX('W Assumptions'!$D$27:$F$27,1,D231)*(IF(C231='W Budget &amp; Owners'!$I$11,'W Assumptions'!$D$65,0)+IF(C231=DATE(YEAR('W Sites'!$F$11),MONTH('W Sites'!$F$11),1),1-'W Assumptions'!$D$65,0))+'W Sites'!$G$11*'W Budget &amp; Owners'!$E$11*IF(C231=DATE(2027,9,1),'W Assumptions'!$D$67,IF(C231=DATE(2028,9,1),'W Assumptions'!$D$69,0))</f>
        <v>0</v>
      </c>
      <c r="W231" s="81" t="n">
        <f aca="false">IF(((YEAR(C231)-YEAR('W Sites'!$F$11))*12+MONTH(C231)-MONTH('W Sites'!$F$11))&lt;'W Budget &amp; Owners'!$H$11,'W Budget &amp; Owners'!$E$11/'W Budget &amp; Owners'!$H$11*F231,0)+IF(C231&gt;=DATE(2027,9,1),'W Budget &amp; Owners'!$E$11*'W Assumptions'!$D$67/'W Budget &amp; Owners'!$H$11*F231,0)+IF(C231&gt;=DATE(2028,9,1),'W Budget &amp; Owners'!$E$11*'W Assumptions'!$D$69/'W Budget &amp; Owners'!$H$11*F231,0)</f>
        <v>2550</v>
      </c>
      <c r="X231" s="81" t="n">
        <f aca="false">IF(C231='W Budget &amp; Owners'!$I$11,'W Budget &amp; Owners'!$G$11*'W Sites'!$G$11,0)</f>
        <v>0</v>
      </c>
      <c r="Y231" s="112" t="n">
        <f aca="false">IF(SUM($G$226:$G$235)=0,0,'W Fees &amp; KPI'!$Q$28*G231/SUM($G$226:$G$235))</f>
        <v>3438.6317865942</v>
      </c>
      <c r="Z231" s="119" t="n">
        <f aca="false">IF(SUM($G$226:$G$235)=0,0,SUM('W Fees &amp; KPI'!$J$28,'W Fees &amp; KPI'!$M$28)*G231/SUM($G$226:$G$235))</f>
        <v>4611.25</v>
      </c>
      <c r="AA231" s="117" t="n">
        <f aca="false">T231-U231-Z231-Y231</f>
        <v>8060.09769166668</v>
      </c>
      <c r="AB231" s="119" t="n">
        <f aca="false">IF('W Fees &amp; KPI'!$D$28=0,0,T231-U231-Z231)</f>
        <v>11498.7294782609</v>
      </c>
    </row>
    <row r="232" customFormat="false" ht="21" hidden="false" customHeight="true" outlineLevel="0" collapsed="false">
      <c r="C232" s="144" t="n">
        <f aca="false">46935</f>
        <v>46935</v>
      </c>
      <c r="D232" s="81" t="n">
        <f aca="false">2</f>
        <v>2</v>
      </c>
      <c r="E232" s="81" t="str">
        <f aca="false">'W Sites'!C12</f>
        <v>S07</v>
      </c>
      <c r="F232" s="145" t="n">
        <f aca="false">'W Sites'!$G$12*MAX(0,EOMONTH(C232,0)-MAX(C232,'W Sites'!$F$12)+1)/DAY(EOMONTH(C232,0))</f>
        <v>1</v>
      </c>
      <c r="G232" s="145" t="n">
        <f aca="false">'W Sites'!$G$12*MAX(0,EOMONTH(C232,0)-MAX(C232,'W Sites'!$F$12,'W Assumptions'!$D$58)+1)/DAY(EOMONTH(C232,0))</f>
        <v>1</v>
      </c>
      <c r="H232" s="81" t="n">
        <f aca="false">'W Sites'!$H$12*F232*'W Sites'!$I$12*IF(((YEAR(C232)-YEAR('W Sites'!$F$12))*12+MONTH(C232)-MONTH('W Sites'!$F$12))=0,'W Assumptions'!$D$62,IF(((YEAR(C232)-YEAR('W Sites'!$F$12))*12+MONTH(C232)-MONTH('W Sites'!$F$12))=1,'W Assumptions'!$D$63,1))*INDEX('W Assumptions'!$D$7:$F$7,1,D232)*INDEX('W Assumptions'!$D$32:$F$32,1,D232)*INDEX('W Assumptions'!$D$80:$D$91,MONTH(C232),1)/AVERAGE('W Assumptions'!$D$80:$D$91)</f>
        <v>800.8</v>
      </c>
      <c r="I232" s="81" t="n">
        <f aca="false">H232*'W Sites'!$J$12/(1+'W Assumptions'!$D$39)*INDEX('W Assumptions'!$D$12:$F$12,1,D232)*INDEX('W Assumptions'!$D$33:$F$33,1,D232)</f>
        <v>43034.2956521739</v>
      </c>
      <c r="J232" s="81" t="n">
        <f aca="false">H232*'W Sites'!$K$12/(1+'W Assumptions'!$D$39)*INDEX('W Assumptions'!$D$12:$F$12,1,D232)*INDEX('W Assumptions'!$D$33:$F$33,1,D232)</f>
        <v>2151.7147826087</v>
      </c>
      <c r="K232" s="81" t="n">
        <f aca="false">'W Sites'!$L$12*F232*IF(((YEAR(C232)-YEAR('W Sites'!$F$12))*12+MONTH(C232)-MONTH('W Sites'!$F$12))=0,'W Assumptions'!$D$62,IF(((YEAR(C232)-YEAR('W Sites'!$F$12))*12+MONTH(C232)-MONTH('W Sites'!$F$12))=1,'W Assumptions'!$D$63,1))*INDEX('W Assumptions'!$D$7:$F$7,1,D232)*INDEX('W Assumptions'!$D$32:$F$32,1,D232)</f>
        <v>19800</v>
      </c>
      <c r="L232" s="81" t="n">
        <f aca="false">SUM(I232:K232)</f>
        <v>64986.0104347826</v>
      </c>
      <c r="M232" s="81" t="n">
        <f aca="false">'W Site Costs'!$I$12*F232*INDEX('W Assumptions'!$D$34:$F$34,1,D232)*INDEX('W Assumptions'!$D$22:$F$22,1,D232)</f>
        <v>25027.8</v>
      </c>
      <c r="N232" s="81" t="n">
        <f aca="false">'W Site Costs'!$J$12*F232*INDEX('W Assumptions'!$D$35:$F$35,1,D232)*INDEX('W Assumptions'!$D$22:$F$22,1,D232)</f>
        <v>8320</v>
      </c>
      <c r="O232" s="81" t="n">
        <f aca="false">L232*'W Site Costs'!$K$12</f>
        <v>0</v>
      </c>
      <c r="P232" s="81" t="n">
        <f aca="false">SUM('W Site Costs'!$L$12:$Q$12)*F232*INDEX('W Assumptions'!$D$35:$F$35,1,D232)*INDEX('W Assumptions'!$D$22:$F$22,1,D232)</f>
        <v>8840</v>
      </c>
      <c r="Q232" s="81" t="n">
        <f aca="false">L232*'W Site Costs'!$R$12*INDEX('W Assumptions'!$D$17:$F$17,1,D232)</f>
        <v>6498.60104347826</v>
      </c>
      <c r="R232" s="112" t="n">
        <f aca="false">L232*'W Sites'!$M$12</f>
        <v>0</v>
      </c>
      <c r="S232" s="81" t="n">
        <f aca="false">SUM(M232:R232)</f>
        <v>48686.4010434783</v>
      </c>
      <c r="T232" s="81" t="n">
        <f aca="false">L232-S232</f>
        <v>16299.6093913044</v>
      </c>
      <c r="U232" s="81" t="n">
        <f aca="false">IF(C232='W Budget &amp; Owners'!$I$12,'W Budget &amp; Owners'!$F$12*'W Sites'!$G$12,0)</f>
        <v>0</v>
      </c>
      <c r="V232" s="81" t="n">
        <f aca="false">'W Sites'!$G$12*'W Budget &amp; Owners'!$E$12*INDEX('W Assumptions'!$D$27:$F$27,1,D232)*(IF(C232='W Budget &amp; Owners'!$I$12,'W Assumptions'!$D$65,0)+IF(C232=DATE(YEAR('W Sites'!$F$12),MONTH('W Sites'!$F$12),1),1-'W Assumptions'!$D$65,0))+'W Sites'!$G$12*'W Budget &amp; Owners'!$E$12*IF(C232=DATE(2027,9,1),'W Assumptions'!$D$67,IF(C232=DATE(2028,9,1),'W Assumptions'!$D$69,0))</f>
        <v>0</v>
      </c>
      <c r="W232" s="81" t="n">
        <f aca="false">IF(((YEAR(C232)-YEAR('W Sites'!$F$12))*12+MONTH(C232)-MONTH('W Sites'!$F$12))&lt;'W Budget &amp; Owners'!$H$12,'W Budget &amp; Owners'!$E$12/'W Budget &amp; Owners'!$H$12*F232,0)+IF(C232&gt;=DATE(2027,9,1),'W Budget &amp; Owners'!$E$12*'W Assumptions'!$D$67/'W Budget &amp; Owners'!$H$12*F232,0)+IF(C232&gt;=DATE(2028,9,1),'W Budget &amp; Owners'!$E$12*'W Assumptions'!$D$69/'W Budget &amp; Owners'!$H$12*F232,0)</f>
        <v>7650</v>
      </c>
      <c r="X232" s="81" t="n">
        <f aca="false">IF(C232='W Budget &amp; Owners'!$I$12,'W Budget &amp; Owners'!$G$12*'W Sites'!$G$12,0)</f>
        <v>0</v>
      </c>
      <c r="Y232" s="112" t="n">
        <f aca="false">IF(SUM($G$226:$G$235)=0,0,'W Fees &amp; KPI'!$Q$28*G232/SUM($G$226:$G$235))</f>
        <v>3438.6317865942</v>
      </c>
      <c r="Z232" s="119" t="n">
        <f aca="false">IF(SUM($G$226:$G$235)=0,0,SUM('W Fees &amp; KPI'!$J$28,'W Fees &amp; KPI'!$M$28)*G232/SUM($G$226:$G$235))</f>
        <v>4611.25</v>
      </c>
      <c r="AA232" s="117" t="n">
        <f aca="false">T232-U232-Z232-Y232</f>
        <v>8249.72760471016</v>
      </c>
      <c r="AB232" s="119" t="n">
        <f aca="false">IF('W Fees &amp; KPI'!$D$28=0,0,T232-U232-Z232)</f>
        <v>11688.3593913044</v>
      </c>
    </row>
    <row r="233" customFormat="false" ht="21" hidden="false" customHeight="true" outlineLevel="0" collapsed="false">
      <c r="C233" s="144" t="n">
        <f aca="false">46935</f>
        <v>46935</v>
      </c>
      <c r="D233" s="81" t="n">
        <f aca="false">2</f>
        <v>2</v>
      </c>
      <c r="E233" s="81" t="str">
        <f aca="false">'W Sites'!C13</f>
        <v>S08</v>
      </c>
      <c r="F233" s="145" t="n">
        <f aca="false">'W Sites'!$G$13*MAX(0,EOMONTH(C233,0)-MAX(C233,'W Sites'!$F$13)+1)/DAY(EOMONTH(C233,0))</f>
        <v>1</v>
      </c>
      <c r="G233" s="145" t="n">
        <f aca="false">'W Sites'!$G$13*MAX(0,EOMONTH(C233,0)-MAX(C233,'W Sites'!$F$13,'W Assumptions'!$D$58)+1)/DAY(EOMONTH(C233,0))</f>
        <v>1</v>
      </c>
      <c r="H233" s="81" t="n">
        <f aca="false">'W Sites'!$H$13*F233*'W Sites'!$I$13*IF(((YEAR(C233)-YEAR('W Sites'!$F$13))*12+MONTH(C233)-MONTH('W Sites'!$F$13))=0,'W Assumptions'!$D$62,IF(((YEAR(C233)-YEAR('W Sites'!$F$13))*12+MONTH(C233)-MONTH('W Sites'!$F$13))=1,'W Assumptions'!$D$63,1))*INDEX('W Assumptions'!$D$7:$F$7,1,D233)*INDEX('W Assumptions'!$D$32:$F$32,1,D233)*INDEX('W Assumptions'!$D$80:$D$91,MONTH(C233),1)/AVERAGE('W Assumptions'!$D$80:$D$91)</f>
        <v>3432</v>
      </c>
      <c r="I233" s="81" t="n">
        <f aca="false">H233*'W Sites'!$J$13/(1+'W Assumptions'!$D$39)*INDEX('W Assumptions'!$D$12:$F$12,1,D233)*INDEX('W Assumptions'!$D$33:$F$33,1,D233)</f>
        <v>122955.130434783</v>
      </c>
      <c r="J233" s="81" t="n">
        <f aca="false">H233*'W Sites'!$K$13/(1+'W Assumptions'!$D$39)*INDEX('W Assumptions'!$D$12:$F$12,1,D233)*INDEX('W Assumptions'!$D$33:$F$33,1,D233)</f>
        <v>15369.3913043478</v>
      </c>
      <c r="K233" s="81" t="n">
        <f aca="false">'W Sites'!$L$13*F233*IF(((YEAR(C233)-YEAR('W Sites'!$F$13))*12+MONTH(C233)-MONTH('W Sites'!$F$13))=0,'W Assumptions'!$D$62,IF(((YEAR(C233)-YEAR('W Sites'!$F$13))*12+MONTH(C233)-MONTH('W Sites'!$F$13))=1,'W Assumptions'!$D$63,1))*INDEX('W Assumptions'!$D$7:$F$7,1,D233)*INDEX('W Assumptions'!$D$32:$F$32,1,D233)</f>
        <v>16500</v>
      </c>
      <c r="L233" s="81" t="n">
        <f aca="false">SUM(I233:K233)</f>
        <v>154824.52173913</v>
      </c>
      <c r="M233" s="81" t="n">
        <f aca="false">'W Site Costs'!$I$13*F233*INDEX('W Assumptions'!$D$34:$F$34,1,D233)*INDEX('W Assumptions'!$D$22:$F$22,1,D233)</f>
        <v>56002.8</v>
      </c>
      <c r="N233" s="81" t="n">
        <f aca="false">'W Site Costs'!$J$13*F233*INDEX('W Assumptions'!$D$35:$F$35,1,D233)*INDEX('W Assumptions'!$D$22:$F$22,1,D233)</f>
        <v>0</v>
      </c>
      <c r="O233" s="81" t="n">
        <f aca="false">L233*'W Site Costs'!$K$13</f>
        <v>15482.452173913</v>
      </c>
      <c r="P233" s="81" t="n">
        <f aca="false">SUM('W Site Costs'!$L$13:$Q$13)*F233*INDEX('W Assumptions'!$D$35:$F$35,1,D233)*INDEX('W Assumptions'!$D$22:$F$22,1,D233)</f>
        <v>26520</v>
      </c>
      <c r="Q233" s="81" t="n">
        <f aca="false">L233*'W Site Costs'!$R$13*INDEX('W Assumptions'!$D$17:$F$17,1,D233)</f>
        <v>12385.9617391304</v>
      </c>
      <c r="R233" s="112" t="n">
        <f aca="false">L233*'W Sites'!$M$13</f>
        <v>0</v>
      </c>
      <c r="S233" s="81" t="n">
        <f aca="false">SUM(M233:R233)</f>
        <v>110391.213913043</v>
      </c>
      <c r="T233" s="81" t="n">
        <f aca="false">L233-S233</f>
        <v>44433.307826087</v>
      </c>
      <c r="U233" s="81" t="n">
        <f aca="false">IF(C233='W Budget &amp; Owners'!$I$13,'W Budget &amp; Owners'!$F$13*'W Sites'!$G$13,0)</f>
        <v>0</v>
      </c>
      <c r="V233" s="81" t="n">
        <f aca="false">'W Sites'!$G$13*'W Budget &amp; Owners'!$E$13*INDEX('W Assumptions'!$D$27:$F$27,1,D233)*(IF(C233='W Budget &amp; Owners'!$I$13,'W Assumptions'!$D$65,0)+IF(C233=DATE(YEAR('W Sites'!$F$13),MONTH('W Sites'!$F$13),1),1-'W Assumptions'!$D$65,0))+'W Sites'!$G$13*'W Budget &amp; Owners'!$E$13*IF(C233=DATE(2027,9,1),'W Assumptions'!$D$67,IF(C233=DATE(2028,9,1),'W Assumptions'!$D$69,0))</f>
        <v>0</v>
      </c>
      <c r="W233" s="81" t="n">
        <f aca="false">IF(((YEAR(C233)-YEAR('W Sites'!$F$13))*12+MONTH(C233)-MONTH('W Sites'!$F$13))&lt;'W Budget &amp; Owners'!$H$13,'W Budget &amp; Owners'!$E$13/'W Budget &amp; Owners'!$H$13*F233,0)+IF(C233&gt;=DATE(2027,9,1),'W Budget &amp; Owners'!$E$13*'W Assumptions'!$D$67/'W Budget &amp; Owners'!$H$13*F233,0)+IF(C233&gt;=DATE(2028,9,1),'W Budget &amp; Owners'!$E$13*'W Assumptions'!$D$69/'W Budget &amp; Owners'!$H$13*F233,0)</f>
        <v>20400</v>
      </c>
      <c r="X233" s="81" t="n">
        <f aca="false">IF(C233='W Budget &amp; Owners'!$I$13,'W Budget &amp; Owners'!$G$13*'W Sites'!$G$13,0)</f>
        <v>0</v>
      </c>
      <c r="Y233" s="112" t="n">
        <f aca="false">IF(SUM($G$226:$G$235)=0,0,'W Fees &amp; KPI'!$Q$28*G233/SUM($G$226:$G$235))</f>
        <v>3438.6317865942</v>
      </c>
      <c r="Z233" s="119" t="n">
        <f aca="false">IF(SUM($G$226:$G$235)=0,0,SUM('W Fees &amp; KPI'!$J$28,'W Fees &amp; KPI'!$M$28)*G233/SUM($G$226:$G$235))</f>
        <v>4611.25</v>
      </c>
      <c r="AA233" s="117" t="n">
        <f aca="false">T233-U233-Z233-Y233</f>
        <v>36383.4260394928</v>
      </c>
      <c r="AB233" s="119" t="n">
        <f aca="false">IF('W Fees &amp; KPI'!$D$28=0,0,T233-U233-Z233)</f>
        <v>39822.057826087</v>
      </c>
    </row>
    <row r="234" customFormat="false" ht="21" hidden="false" customHeight="true" outlineLevel="0" collapsed="false">
      <c r="C234" s="144" t="n">
        <f aca="false">46935</f>
        <v>46935</v>
      </c>
      <c r="D234" s="81" t="n">
        <f aca="false">2</f>
        <v>2</v>
      </c>
      <c r="E234" s="81" t="str">
        <f aca="false">'W Sites'!C14</f>
        <v>S09</v>
      </c>
      <c r="F234" s="145" t="n">
        <f aca="false">'W Sites'!$G$14*MAX(0,EOMONTH(C234,0)-MAX(C234,'W Sites'!$F$14)+1)/DAY(EOMONTH(C234,0))</f>
        <v>0</v>
      </c>
      <c r="G234" s="145" t="n">
        <f aca="false">'W Sites'!$G$14*MAX(0,EOMONTH(C234,0)-MAX(C234,'W Sites'!$F$14,'W Assumptions'!$D$58)+1)/DAY(EOMONTH(C234,0))</f>
        <v>0</v>
      </c>
      <c r="H234" s="81" t="n">
        <f aca="false">'W Sites'!$H$14*F234*'W Sites'!$I$14*IF(((YEAR(C234)-YEAR('W Sites'!$F$14))*12+MONTH(C234)-MONTH('W Sites'!$F$14))=0,'W Assumptions'!$D$62,IF(((YEAR(C234)-YEAR('W Sites'!$F$14))*12+MONTH(C234)-MONTH('W Sites'!$F$14))=1,'W Assumptions'!$D$63,1))*INDEX('W Assumptions'!$D$7:$F$7,1,D234)*INDEX('W Assumptions'!$D$32:$F$32,1,D234)*INDEX('W Assumptions'!$D$80:$D$91,MONTH(C234),1)/AVERAGE('W Assumptions'!$D$80:$D$91)</f>
        <v>0</v>
      </c>
      <c r="I234" s="81" t="n">
        <f aca="false">H234*'W Sites'!$J$14/(1+'W Assumptions'!$D$39)*INDEX('W Assumptions'!$D$12:$F$12,1,D234)*INDEX('W Assumptions'!$D$33:$F$33,1,D234)</f>
        <v>0</v>
      </c>
      <c r="J234" s="81" t="n">
        <f aca="false">H234*'W Sites'!$K$14/(1+'W Assumptions'!$D$39)*INDEX('W Assumptions'!$D$12:$F$12,1,D234)*INDEX('W Assumptions'!$D$33:$F$33,1,D234)</f>
        <v>0</v>
      </c>
      <c r="K234" s="81" t="n">
        <f aca="false">'W Sites'!$L$14*F234*IF(((YEAR(C234)-YEAR('W Sites'!$F$14))*12+MONTH(C234)-MONTH('W Sites'!$F$14))=0,'W Assumptions'!$D$62,IF(((YEAR(C234)-YEAR('W Sites'!$F$14))*12+MONTH(C234)-MONTH('W Sites'!$F$14))=1,'W Assumptions'!$D$63,1))*INDEX('W Assumptions'!$D$7:$F$7,1,D234)*INDEX('W Assumptions'!$D$32:$F$32,1,D234)</f>
        <v>0</v>
      </c>
      <c r="L234" s="81" t="n">
        <f aca="false">SUM(I234:K234)</f>
        <v>0</v>
      </c>
      <c r="M234" s="81" t="n">
        <f aca="false">'W Site Costs'!$I$14*F234*INDEX('W Assumptions'!$D$34:$F$34,1,D234)*INDEX('W Assumptions'!$D$22:$F$22,1,D234)</f>
        <v>0</v>
      </c>
      <c r="N234" s="81" t="n">
        <f aca="false">'W Site Costs'!$J$14*F234*INDEX('W Assumptions'!$D$35:$F$35,1,D234)*INDEX('W Assumptions'!$D$22:$F$22,1,D234)</f>
        <v>0</v>
      </c>
      <c r="O234" s="81" t="n">
        <f aca="false">L234*'W Site Costs'!$K$14</f>
        <v>0</v>
      </c>
      <c r="P234" s="81" t="n">
        <f aca="false">SUM('W Site Costs'!$L$14:$Q$14)*F234*INDEX('W Assumptions'!$D$35:$F$35,1,D234)*INDEX('W Assumptions'!$D$22:$F$22,1,D234)</f>
        <v>0</v>
      </c>
      <c r="Q234" s="81" t="n">
        <f aca="false">L234*'W Site Costs'!$R$14*INDEX('W Assumptions'!$D$17:$F$17,1,D234)</f>
        <v>0</v>
      </c>
      <c r="R234" s="112" t="n">
        <f aca="false">L234*'W Sites'!$M$14</f>
        <v>0</v>
      </c>
      <c r="S234" s="81" t="n">
        <f aca="false">SUM(M234:R234)</f>
        <v>0</v>
      </c>
      <c r="T234" s="81" t="n">
        <f aca="false">L234-S234</f>
        <v>0</v>
      </c>
      <c r="U234" s="81" t="n">
        <f aca="false">IF(C234='W Budget &amp; Owners'!$I$14,'W Budget &amp; Owners'!$F$14*'W Sites'!$G$14,0)</f>
        <v>0</v>
      </c>
      <c r="V234" s="81" t="n">
        <f aca="false">'W Sites'!$G$14*'W Budget &amp; Owners'!$E$14*INDEX('W Assumptions'!$D$27:$F$27,1,D234)*(IF(C234='W Budget &amp; Owners'!$I$14,'W Assumptions'!$D$65,0)+IF(C234=DATE(YEAR('W Sites'!$F$14),MONTH('W Sites'!$F$14),1),1-'W Assumptions'!$D$65,0))+'W Sites'!$G$14*'W Budget &amp; Owners'!$E$14*IF(C234=DATE(2027,9,1),'W Assumptions'!$D$67,IF(C234=DATE(2028,9,1),'W Assumptions'!$D$69,0))</f>
        <v>0</v>
      </c>
      <c r="W234" s="81" t="n">
        <f aca="false">IF(((YEAR(C234)-YEAR('W Sites'!$F$14))*12+MONTH(C234)-MONTH('W Sites'!$F$14))&lt;'W Budget &amp; Owners'!$H$14,'W Budget &amp; Owners'!$E$14/'W Budget &amp; Owners'!$H$14*F234,0)+IF(C234&gt;=DATE(2027,9,1),'W Budget &amp; Owners'!$E$14*'W Assumptions'!$D$67/'W Budget &amp; Owners'!$H$14*F234,0)+IF(C234&gt;=DATE(2028,9,1),'W Budget &amp; Owners'!$E$14*'W Assumptions'!$D$69/'W Budget &amp; Owners'!$H$14*F234,0)</f>
        <v>0</v>
      </c>
      <c r="X234" s="81" t="n">
        <f aca="false">IF(C234='W Budget &amp; Owners'!$I$14,'W Budget &amp; Owners'!$G$14*'W Sites'!$G$14,0)</f>
        <v>0</v>
      </c>
      <c r="Y234" s="112" t="n">
        <f aca="false">IF(SUM($G$226:$G$235)=0,0,'W Fees &amp; KPI'!$Q$28*G234/SUM($G$226:$G$235))</f>
        <v>0</v>
      </c>
      <c r="Z234" s="119" t="n">
        <f aca="false">IF(SUM($G$226:$G$235)=0,0,SUM('W Fees &amp; KPI'!$J$28,'W Fees &amp; KPI'!$M$28)*G234/SUM($G$226:$G$235))</f>
        <v>0</v>
      </c>
      <c r="AA234" s="117" t="n">
        <f aca="false">T234-U234-Z234-Y234</f>
        <v>0</v>
      </c>
      <c r="AB234" s="119" t="n">
        <f aca="false">IF('W Fees &amp; KPI'!$D$28=0,0,T234-U234-Z234)</f>
        <v>0</v>
      </c>
    </row>
    <row r="235" customFormat="false" ht="21" hidden="false" customHeight="true" outlineLevel="0" collapsed="false">
      <c r="C235" s="144" t="n">
        <f aca="false">46935</f>
        <v>46935</v>
      </c>
      <c r="D235" s="81" t="n">
        <f aca="false">2</f>
        <v>2</v>
      </c>
      <c r="E235" s="81" t="str">
        <f aca="false">'W Sites'!C15</f>
        <v>S10</v>
      </c>
      <c r="F235" s="145" t="n">
        <f aca="false">'W Sites'!$G$15*MAX(0,EOMONTH(C235,0)-MAX(C235,'W Sites'!$F$15)+1)/DAY(EOMONTH(C235,0))</f>
        <v>0</v>
      </c>
      <c r="G235" s="145" t="n">
        <f aca="false">'W Sites'!$G$15*MAX(0,EOMONTH(C235,0)-MAX(C235,'W Sites'!$F$15,'W Assumptions'!$D$58)+1)/DAY(EOMONTH(C235,0))</f>
        <v>0</v>
      </c>
      <c r="H235" s="81" t="n">
        <f aca="false">'W Sites'!$H$15*F235*'W Sites'!$I$15*IF(((YEAR(C235)-YEAR('W Sites'!$F$15))*12+MONTH(C235)-MONTH('W Sites'!$F$15))=0,'W Assumptions'!$D$62,IF(((YEAR(C235)-YEAR('W Sites'!$F$15))*12+MONTH(C235)-MONTH('W Sites'!$F$15))=1,'W Assumptions'!$D$63,1))*INDEX('W Assumptions'!$D$7:$F$7,1,D235)*INDEX('W Assumptions'!$D$32:$F$32,1,D235)*INDEX('W Assumptions'!$D$80:$D$91,MONTH(C235),1)/AVERAGE('W Assumptions'!$D$80:$D$91)</f>
        <v>0</v>
      </c>
      <c r="I235" s="81" t="n">
        <f aca="false">H235*'W Sites'!$J$15/(1+'W Assumptions'!$D$39)*INDEX('W Assumptions'!$D$12:$F$12,1,D235)*INDEX('W Assumptions'!$D$33:$F$33,1,D235)</f>
        <v>0</v>
      </c>
      <c r="J235" s="81" t="n">
        <f aca="false">H235*'W Sites'!$K$15/(1+'W Assumptions'!$D$39)*INDEX('W Assumptions'!$D$12:$F$12,1,D235)*INDEX('W Assumptions'!$D$33:$F$33,1,D235)</f>
        <v>0</v>
      </c>
      <c r="K235" s="81" t="n">
        <f aca="false">'W Sites'!$L$15*F235*IF(((YEAR(C235)-YEAR('W Sites'!$F$15))*12+MONTH(C235)-MONTH('W Sites'!$F$15))=0,'W Assumptions'!$D$62,IF(((YEAR(C235)-YEAR('W Sites'!$F$15))*12+MONTH(C235)-MONTH('W Sites'!$F$15))=1,'W Assumptions'!$D$63,1))*INDEX('W Assumptions'!$D$7:$F$7,1,D235)*INDEX('W Assumptions'!$D$32:$F$32,1,D235)</f>
        <v>0</v>
      </c>
      <c r="L235" s="81" t="n">
        <f aca="false">SUM(I235:K235)</f>
        <v>0</v>
      </c>
      <c r="M235" s="81" t="n">
        <f aca="false">'W Site Costs'!$I$15*F235*INDEX('W Assumptions'!$D$34:$F$34,1,D235)*INDEX('W Assumptions'!$D$22:$F$22,1,D235)</f>
        <v>0</v>
      </c>
      <c r="N235" s="81" t="n">
        <f aca="false">'W Site Costs'!$J$15*F235*INDEX('W Assumptions'!$D$35:$F$35,1,D235)*INDEX('W Assumptions'!$D$22:$F$22,1,D235)</f>
        <v>0</v>
      </c>
      <c r="O235" s="81" t="n">
        <f aca="false">L235*'W Site Costs'!$K$15</f>
        <v>0</v>
      </c>
      <c r="P235" s="81" t="n">
        <f aca="false">SUM('W Site Costs'!$L$15:$Q$15)*F235*INDEX('W Assumptions'!$D$35:$F$35,1,D235)*INDEX('W Assumptions'!$D$22:$F$22,1,D235)</f>
        <v>0</v>
      </c>
      <c r="Q235" s="81" t="n">
        <f aca="false">L235*'W Site Costs'!$R$15*INDEX('W Assumptions'!$D$17:$F$17,1,D235)</f>
        <v>0</v>
      </c>
      <c r="R235" s="112" t="n">
        <f aca="false">L235*'W Sites'!$M$15</f>
        <v>0</v>
      </c>
      <c r="S235" s="81" t="n">
        <f aca="false">SUM(M235:R235)</f>
        <v>0</v>
      </c>
      <c r="T235" s="81" t="n">
        <f aca="false">L235-S235</f>
        <v>0</v>
      </c>
      <c r="U235" s="81" t="n">
        <f aca="false">IF(C235='W Budget &amp; Owners'!$I$15,'W Budget &amp; Owners'!$F$15*'W Sites'!$G$15,0)</f>
        <v>0</v>
      </c>
      <c r="V235" s="81" t="n">
        <f aca="false">'W Sites'!$G$15*'W Budget &amp; Owners'!$E$15*INDEX('W Assumptions'!$D$27:$F$27,1,D235)*(IF(C235='W Budget &amp; Owners'!$I$15,'W Assumptions'!$D$65,0)+IF(C235=DATE(YEAR('W Sites'!$F$15),MONTH('W Sites'!$F$15),1),1-'W Assumptions'!$D$65,0))+'W Sites'!$G$15*'W Budget &amp; Owners'!$E$15*IF(C235=DATE(2027,9,1),'W Assumptions'!$D$67,IF(C235=DATE(2028,9,1),'W Assumptions'!$D$69,0))</f>
        <v>0</v>
      </c>
      <c r="W235" s="81" t="n">
        <f aca="false">IF(((YEAR(C235)-YEAR('W Sites'!$F$15))*12+MONTH(C235)-MONTH('W Sites'!$F$15))&lt;'W Budget &amp; Owners'!$H$15,'W Budget &amp; Owners'!$E$15/'W Budget &amp; Owners'!$H$15*F235,0)+IF(C235&gt;=DATE(2027,9,1),'W Budget &amp; Owners'!$E$15*'W Assumptions'!$D$67/'W Budget &amp; Owners'!$H$15*F235,0)+IF(C235&gt;=DATE(2028,9,1),'W Budget &amp; Owners'!$E$15*'W Assumptions'!$D$69/'W Budget &amp; Owners'!$H$15*F235,0)</f>
        <v>0</v>
      </c>
      <c r="X235" s="81" t="n">
        <f aca="false">IF(C235='W Budget &amp; Owners'!$I$15,'W Budget &amp; Owners'!$G$15*'W Sites'!$G$15,0)</f>
        <v>0</v>
      </c>
      <c r="Y235" s="112" t="n">
        <f aca="false">IF(SUM($G$226:$G$235)=0,0,'W Fees &amp; KPI'!$Q$28*G235/SUM($G$226:$G$235))</f>
        <v>0</v>
      </c>
      <c r="Z235" s="119" t="n">
        <f aca="false">IF(SUM($G$226:$G$235)=0,0,SUM('W Fees &amp; KPI'!$J$28,'W Fees &amp; KPI'!$M$28)*G235/SUM($G$226:$G$235))</f>
        <v>0</v>
      </c>
      <c r="AA235" s="117" t="n">
        <f aca="false">T235-U235-Z235-Y235</f>
        <v>0</v>
      </c>
      <c r="AB235" s="119" t="n">
        <f aca="false">IF('W Fees &amp; KPI'!$D$28=0,0,T235-U235-Z235)</f>
        <v>0</v>
      </c>
    </row>
    <row r="236" customFormat="false" ht="21" hidden="false" customHeight="true" outlineLevel="0" collapsed="false">
      <c r="C236" s="144" t="n">
        <f aca="false">46966</f>
        <v>46966</v>
      </c>
      <c r="D236" s="81" t="n">
        <f aca="false">2</f>
        <v>2</v>
      </c>
      <c r="E236" s="81" t="str">
        <f aca="false">'W Sites'!C6</f>
        <v>S01</v>
      </c>
      <c r="F236" s="145" t="n">
        <f aca="false">'W Sites'!$G$6*MAX(0,EOMONTH(C236,0)-MAX(C236,'W Sites'!$F$6)+1)/DAY(EOMONTH(C236,0))</f>
        <v>1</v>
      </c>
      <c r="G236" s="145" t="n">
        <f aca="false">'W Sites'!$G$6*MAX(0,EOMONTH(C236,0)-MAX(C236,'W Sites'!$F$6,'W Assumptions'!$D$58)+1)/DAY(EOMONTH(C236,0))</f>
        <v>1</v>
      </c>
      <c r="H236" s="81" t="n">
        <f aca="false">'W Sites'!$D$45*INDEX('W Sites'!$E$65:$E$76,MONTH(C236),1)/SUM('W Sites'!$E$65:$E$76)*F236*(1+'W Sites'!$D$56)^(D236-1)*INDEX('W Assumptions'!$D$7:$F$7,1,D236)</f>
        <v>5590.44</v>
      </c>
      <c r="I236" s="81" t="n">
        <f aca="false">H236*'W Sites'!$D$46/(1+'W Sites'!$D$54*'W Assumptions'!$D$39)*INDEX('W Assumptions'!$D$12:$F$12,1,D236)</f>
        <v>307474.2</v>
      </c>
      <c r="J236" s="81" t="n">
        <f aca="false">H236*SUM('W Sites'!$D$47:$D$49)/(1+'W Sites'!$D$54*'W Assumptions'!$D$39)*INDEX('W Assumptions'!$D$12:$F$12,1,D236)</f>
        <v>167713.2</v>
      </c>
      <c r="K236" s="81" t="n">
        <f aca="false">SUM('W Sites'!$D$50:$D$52)/12*F236*(1+'W Sites'!$D$56)^(D236-1)*INDEX('W Assumptions'!$D$7:$F$7,1,D236)*INDEX('W Assumptions'!$D$12:$F$12,1,D236)/(1+'W Sites'!$D$54*'W Assumptions'!$D$39)</f>
        <v>35333.3333333333</v>
      </c>
      <c r="L236" s="81" t="n">
        <f aca="false">SUM(I236:K236)</f>
        <v>510520.733333333</v>
      </c>
      <c r="M236" s="81" t="n">
        <f aca="false">('W Site Costs'!$I$6+INDEX('W Sites'!$F$65:$F$76,MONTH(C236),1)*'W Site Costs'!$V$6)*F236*(1+'W Sites'!$D$58)^(D236-1)*INDEX('W Assumptions'!$D$22:$F$22,1,D236)</f>
        <v>112840</v>
      </c>
      <c r="N236" s="81" t="n">
        <f aca="false">'W Site Costs'!$J$6*F236*INDEX('W Assumptions'!$D$35:$F$35,1,D236)*INDEX('W Assumptions'!$D$22:$F$22,1,D236)</f>
        <v>15600</v>
      </c>
      <c r="O236" s="81" t="n">
        <f aca="false">L236*'W Site Costs'!$K$6</f>
        <v>0</v>
      </c>
      <c r="P236" s="81" t="n">
        <f aca="false">(SUM('W Site Costs'!$L$6:$Q$6)+INDEX('W Sites'!$F$65:$F$76,MONTH(C236),1)*'W Site Costs'!$W$6)*F236*(1+'W Sites'!$D$58)^(D236-1)*INDEX('W Assumptions'!$D$22:$F$22,1,D236)</f>
        <v>76960</v>
      </c>
      <c r="Q236" s="81" t="n">
        <f aca="false">('W Site Costs'!$X$6+INDEX('W Sites'!$F$65:$F$76,MONTH(C236),1)*'W Site Costs'!$Y$6)*F236*(1+'W Sites'!$D$58)^(D236-1)*INDEX('W Assumptions'!$D$17:$F$17,1,D236)</f>
        <v>18720</v>
      </c>
      <c r="R236" s="112" t="n">
        <f aca="false">L236*'W Sites'!$M$6</f>
        <v>0</v>
      </c>
      <c r="S236" s="81" t="n">
        <f aca="false">SUM(M236:R236)</f>
        <v>224120</v>
      </c>
      <c r="T236" s="81" t="n">
        <f aca="false">L236-S236</f>
        <v>286400.733333333</v>
      </c>
      <c r="U236" s="81" t="n">
        <f aca="false">IF(C236='W Budget &amp; Owners'!$I$6,'W Budget &amp; Owners'!$F$6*'W Sites'!$G$6,0)</f>
        <v>0</v>
      </c>
      <c r="V236" s="81" t="n">
        <f aca="false">'W Sites'!$G$6*'W Budget &amp; Owners'!$E$6*INDEX('W Assumptions'!$D$27:$F$27,1,D236)*(IF(C236='W Budget &amp; Owners'!$I$6,'W Assumptions'!$D$65,0)+IF(C236=DATE(YEAR('W Sites'!$F$6),MONTH('W Sites'!$F$6),1),1-'W Assumptions'!$D$65,0))+'W Sites'!$G$6*'W Budget &amp; Owners'!$E$6*IF(C236=DATE(2027,9,1),'W Assumptions'!$D$67,IF(C236=DATE(2028,9,1),'W Assumptions'!$D$69,0))</f>
        <v>0</v>
      </c>
      <c r="W236" s="81" t="n">
        <f aca="false">IF(((YEAR(C236)-YEAR('W Sites'!$F$6))*12+MONTH(C236)-MONTH('W Sites'!$F$6))&lt;'W Budget &amp; Owners'!$H$6,'W Budget &amp; Owners'!$E$6/'W Budget &amp; Owners'!$H$6*F236,0)+IF(C236&gt;=DATE(2027,9,1),'W Budget &amp; Owners'!$E$6*'W Assumptions'!$D$67/'W Budget &amp; Owners'!$H$6*F236,0)+IF(C236&gt;=DATE(2028,9,1),'W Budget &amp; Owners'!$E$6*'W Assumptions'!$D$69/'W Budget &amp; Owners'!$H$6*F236,0)</f>
        <v>5950</v>
      </c>
      <c r="X236" s="81" t="n">
        <f aca="false">IF(C236='W Budget &amp; Owners'!$I$6,'W Budget &amp; Owners'!$G$6*'W Sites'!$G$6,0)</f>
        <v>0</v>
      </c>
      <c r="Y236" s="112" t="n">
        <f aca="false">IF(SUM($G$236:$G$245)=0,0,'W Fees &amp; KPI'!$Q$29*G236/SUM($G$236:$G$245))</f>
        <v>3553.58385887682</v>
      </c>
      <c r="Z236" s="119" t="n">
        <f aca="false">IF(SUM($G$236:$G$245)=0,0,SUM('W Fees &amp; KPI'!$J$29,'W Fees &amp; KPI'!$M$29)*G236/SUM($G$236:$G$245))</f>
        <v>4611.25</v>
      </c>
      <c r="AA236" s="117" t="n">
        <f aca="false">T236-U236-Z236-Y236</f>
        <v>278235.899474457</v>
      </c>
      <c r="AB236" s="119" t="n">
        <f aca="false">IF('W Fees &amp; KPI'!$D$29=0,0,T236-U236-Z236)</f>
        <v>281789.483333333</v>
      </c>
    </row>
    <row r="237" customFormat="false" ht="21" hidden="false" customHeight="true" outlineLevel="0" collapsed="false">
      <c r="C237" s="144" t="n">
        <f aca="false">46966</f>
        <v>46966</v>
      </c>
      <c r="D237" s="81" t="n">
        <f aca="false">2</f>
        <v>2</v>
      </c>
      <c r="E237" s="81" t="str">
        <f aca="false">'W Sites'!C7</f>
        <v>S02</v>
      </c>
      <c r="F237" s="145" t="n">
        <f aca="false">'W Sites'!$G$7*MAX(0,EOMONTH(C237,0)-MAX(C237,'W Sites'!$F$7)+1)/DAY(EOMONTH(C237,0))</f>
        <v>1</v>
      </c>
      <c r="G237" s="145" t="n">
        <f aca="false">'W Sites'!$G$7*MAX(0,EOMONTH(C237,0)-MAX(C237,'W Sites'!$F$7,'W Assumptions'!$D$58)+1)/DAY(EOMONTH(C237,0))</f>
        <v>1</v>
      </c>
      <c r="H237" s="81" t="n">
        <f aca="false">'W Sites'!$H$7*F237*'W Sites'!$I$7*IF(((YEAR(C237)-YEAR('W Sites'!$F$7))*12+MONTH(C237)-MONTH('W Sites'!$F$7))=0,'W Assumptions'!$D$62,IF(((YEAR(C237)-YEAR('W Sites'!$F$7))*12+MONTH(C237)-MONTH('W Sites'!$F$7))=1,'W Assumptions'!$D$63,1))*INDEX('W Assumptions'!$D$7:$F$7,1,D237)*INDEX('W Assumptions'!$D$32:$F$32,1,D237)*INDEX('W Assumptions'!$D$80:$D$91,MONTH(C237),1)/AVERAGE('W Assumptions'!$D$80:$D$91)</f>
        <v>2079</v>
      </c>
      <c r="I237" s="81" t="n">
        <f aca="false">H237*'W Sites'!$J$7/(1+'W Assumptions'!$D$39)*INDEX('W Assumptions'!$D$12:$F$12,1,D237)*INDEX('W Assumptions'!$D$33:$F$33,1,D237)</f>
        <v>65172.1304347826</v>
      </c>
      <c r="J237" s="81" t="n">
        <f aca="false">H237*'W Sites'!$K$7/(1+'W Assumptions'!$D$39)*INDEX('W Assumptions'!$D$12:$F$12,1,D237)*INDEX('W Assumptions'!$D$33:$F$33,1,D237)</f>
        <v>5586.18260869565</v>
      </c>
      <c r="K237" s="81" t="n">
        <f aca="false">'W Sites'!$L$7*F237*IF(((YEAR(C237)-YEAR('W Sites'!$F$7))*12+MONTH(C237)-MONTH('W Sites'!$F$7))=0,'W Assumptions'!$D$62,IF(((YEAR(C237)-YEAR('W Sites'!$F$7))*12+MONTH(C237)-MONTH('W Sites'!$F$7))=1,'W Assumptions'!$D$63,1))*INDEX('W Assumptions'!$D$7:$F$7,1,D237)*INDEX('W Assumptions'!$D$32:$F$32,1,D237)</f>
        <v>5500</v>
      </c>
      <c r="L237" s="81" t="n">
        <f aca="false">SUM(I237:K237)</f>
        <v>76258.3130434783</v>
      </c>
      <c r="M237" s="81" t="n">
        <f aca="false">'W Site Costs'!$I$7*F237*INDEX('W Assumptions'!$D$34:$F$34,1,D237)*INDEX('W Assumptions'!$D$22:$F$22,1,D237)</f>
        <v>34072.5</v>
      </c>
      <c r="N237" s="81" t="n">
        <f aca="false">'W Site Costs'!$J$7*F237*INDEX('W Assumptions'!$D$35:$F$35,1,D237)*INDEX('W Assumptions'!$D$22:$F$22,1,D237)</f>
        <v>0</v>
      </c>
      <c r="O237" s="81" t="n">
        <f aca="false">L237*'W Site Costs'!$K$7</f>
        <v>11438.7469565217</v>
      </c>
      <c r="P237" s="81" t="n">
        <f aca="false">SUM('W Site Costs'!$L$7:$Q$7)*F237*INDEX('W Assumptions'!$D$35:$F$35,1,D237)*INDEX('W Assumptions'!$D$22:$F$22,1,D237)</f>
        <v>12168</v>
      </c>
      <c r="Q237" s="81" t="n">
        <f aca="false">L237*'W Site Costs'!$R$7*INDEX('W Assumptions'!$D$17:$F$17,1,D237)</f>
        <v>4575.4987826087</v>
      </c>
      <c r="R237" s="112" t="n">
        <f aca="false">L237*'W Sites'!$M$7</f>
        <v>0</v>
      </c>
      <c r="S237" s="81" t="n">
        <f aca="false">SUM(M237:R237)</f>
        <v>62254.7457391304</v>
      </c>
      <c r="T237" s="81" t="n">
        <f aca="false">L237-S237</f>
        <v>14003.5673043478</v>
      </c>
      <c r="U237" s="81" t="n">
        <f aca="false">IF(C237='W Budget &amp; Owners'!$I$7,'W Budget &amp; Owners'!$F$7*'W Sites'!$G$7,0)</f>
        <v>0</v>
      </c>
      <c r="V237" s="81" t="n">
        <f aca="false">'W Sites'!$G$7*'W Budget &amp; Owners'!$E$7*INDEX('W Assumptions'!$D$27:$F$27,1,D237)*(IF(C237='W Budget &amp; Owners'!$I$7,'W Assumptions'!$D$65,0)+IF(C237=DATE(YEAR('W Sites'!$F$7),MONTH('W Sites'!$F$7),1),1-'W Assumptions'!$D$65,0))+'W Sites'!$G$7*'W Budget &amp; Owners'!$E$7*IF(C237=DATE(2027,9,1),'W Assumptions'!$D$67,IF(C237=DATE(2028,9,1),'W Assumptions'!$D$69,0))</f>
        <v>0</v>
      </c>
      <c r="W237" s="81" t="n">
        <f aca="false">IF(((YEAR(C237)-YEAR('W Sites'!$F$7))*12+MONTH(C237)-MONTH('W Sites'!$F$7))&lt;'W Budget &amp; Owners'!$H$7,'W Budget &amp; Owners'!$E$7/'W Budget &amp; Owners'!$H$7*F237,0)+IF(C237&gt;=DATE(2027,9,1),'W Budget &amp; Owners'!$E$7*'W Assumptions'!$D$67/'W Budget &amp; Owners'!$H$7*F237,0)+IF(C237&gt;=DATE(2028,9,1),'W Budget &amp; Owners'!$E$7*'W Assumptions'!$D$69/'W Budget &amp; Owners'!$H$7*F237,0)</f>
        <v>1360</v>
      </c>
      <c r="X237" s="81" t="n">
        <f aca="false">IF(C237='W Budget &amp; Owners'!$I$7,'W Budget &amp; Owners'!$G$7*'W Sites'!$G$7,0)</f>
        <v>0</v>
      </c>
      <c r="Y237" s="112" t="n">
        <f aca="false">IF(SUM($G$236:$G$245)=0,0,'W Fees &amp; KPI'!$Q$29*G237/SUM($G$236:$G$245))</f>
        <v>3553.58385887682</v>
      </c>
      <c r="Z237" s="119" t="n">
        <f aca="false">IF(SUM($G$236:$G$245)=0,0,SUM('W Fees &amp; KPI'!$J$29,'W Fees &amp; KPI'!$M$29)*G237/SUM($G$236:$G$245))</f>
        <v>4611.25</v>
      </c>
      <c r="AA237" s="117" t="n">
        <f aca="false">T237-U237-Z237-Y237</f>
        <v>5838.73344547101</v>
      </c>
      <c r="AB237" s="119" t="n">
        <f aca="false">IF('W Fees &amp; KPI'!$D$29=0,0,T237-U237-Z237)</f>
        <v>9392.31730434783</v>
      </c>
    </row>
    <row r="238" customFormat="false" ht="21" hidden="false" customHeight="true" outlineLevel="0" collapsed="false">
      <c r="C238" s="144" t="n">
        <f aca="false">46966</f>
        <v>46966</v>
      </c>
      <c r="D238" s="81" t="n">
        <f aca="false">2</f>
        <v>2</v>
      </c>
      <c r="E238" s="81" t="str">
        <f aca="false">'W Sites'!C8</f>
        <v>S03</v>
      </c>
      <c r="F238" s="145" t="n">
        <f aca="false">'W Sites'!$G$8*MAX(0,EOMONTH(C238,0)-MAX(C238,'W Sites'!$F$8)+1)/DAY(EOMONTH(C238,0))</f>
        <v>1</v>
      </c>
      <c r="G238" s="145" t="n">
        <f aca="false">'W Sites'!$G$8*MAX(0,EOMONTH(C238,0)-MAX(C238,'W Sites'!$F$8,'W Assumptions'!$D$58)+1)/DAY(EOMONTH(C238,0))</f>
        <v>1</v>
      </c>
      <c r="H238" s="81" t="n">
        <f aca="false">'W Sites'!$H$8*F238*'W Sites'!$I$8*IF(((YEAR(C238)-YEAR('W Sites'!$F$8))*12+MONTH(C238)-MONTH('W Sites'!$F$8))=0,'W Assumptions'!$D$62,IF(((YEAR(C238)-YEAR('W Sites'!$F$8))*12+MONTH(C238)-MONTH('W Sites'!$F$8))=1,'W Assumptions'!$D$63,1))*INDEX('W Assumptions'!$D$7:$F$7,1,D238)*INDEX('W Assumptions'!$D$32:$F$32,1,D238)*INDEX('W Assumptions'!$D$80:$D$91,MONTH(C238),1)/AVERAGE('W Assumptions'!$D$80:$D$91)</f>
        <v>2807.2602739726</v>
      </c>
      <c r="I238" s="81" t="n">
        <f aca="false">H238*'W Sites'!$J$8/(1+'W Assumptions'!$D$39)*INDEX('W Assumptions'!$D$12:$F$12,1,D238)*INDEX('W Assumptions'!$D$33:$F$33,1,D238)</f>
        <v>163431.369863014</v>
      </c>
      <c r="J238" s="81" t="n">
        <f aca="false">H238*'W Sites'!$K$8/(1+'W Assumptions'!$D$39)*INDEX('W Assumptions'!$D$12:$F$12,1,D238)*INDEX('W Assumptions'!$D$33:$F$33,1,D238)</f>
        <v>20114.6301369863</v>
      </c>
      <c r="K238" s="81" t="n">
        <f aca="false">'W Sites'!$L$8*F238*IF(((YEAR(C238)-YEAR('W Sites'!$F$8))*12+MONTH(C238)-MONTH('W Sites'!$F$8))=0,'W Assumptions'!$D$62,IF(((YEAR(C238)-YEAR('W Sites'!$F$8))*12+MONTH(C238)-MONTH('W Sites'!$F$8))=1,'W Assumptions'!$D$63,1))*INDEX('W Assumptions'!$D$7:$F$7,1,D238)*INDEX('W Assumptions'!$D$32:$F$32,1,D238)</f>
        <v>22000</v>
      </c>
      <c r="L238" s="81" t="n">
        <f aca="false">SUM(I238:K238)</f>
        <v>205546</v>
      </c>
      <c r="M238" s="81" t="n">
        <f aca="false">'W Site Costs'!$I$8*F238*INDEX('W Assumptions'!$D$34:$F$34,1,D238)*INDEX('W Assumptions'!$D$22:$F$22,1,D238)</f>
        <v>50427.3</v>
      </c>
      <c r="N238" s="81" t="n">
        <f aca="false">'W Site Costs'!$J$8*F238*INDEX('W Assumptions'!$D$35:$F$35,1,D238)*INDEX('W Assumptions'!$D$22:$F$22,1,D238)</f>
        <v>36400</v>
      </c>
      <c r="O238" s="81" t="n">
        <f aca="false">L238*'W Site Costs'!$K$8</f>
        <v>0</v>
      </c>
      <c r="P238" s="81" t="n">
        <f aca="false">SUM('W Site Costs'!$L$8:$Q$8)*F238*INDEX('W Assumptions'!$D$35:$F$35,1,D238)*INDEX('W Assumptions'!$D$22:$F$22,1,D238)</f>
        <v>20280</v>
      </c>
      <c r="Q238" s="81" t="n">
        <f aca="false">L238*'W Site Costs'!$R$8*INDEX('W Assumptions'!$D$17:$F$17,1,D238)</f>
        <v>16443.68</v>
      </c>
      <c r="R238" s="112" t="n">
        <f aca="false">L238*'W Sites'!$M$8</f>
        <v>0</v>
      </c>
      <c r="S238" s="81" t="n">
        <f aca="false">SUM(M238:R238)</f>
        <v>123550.98</v>
      </c>
      <c r="T238" s="81" t="n">
        <f aca="false">L238-S238</f>
        <v>81995.0200000001</v>
      </c>
      <c r="U238" s="81" t="n">
        <f aca="false">IF(C238='W Budget &amp; Owners'!$I$8,'W Budget &amp; Owners'!$F$8*'W Sites'!$G$8,0)</f>
        <v>0</v>
      </c>
      <c r="V238" s="81" t="n">
        <f aca="false">'W Sites'!$G$8*'W Budget &amp; Owners'!$E$8*INDEX('W Assumptions'!$D$27:$F$27,1,D238)*(IF(C238='W Budget &amp; Owners'!$I$8,'W Assumptions'!$D$65,0)+IF(C238=DATE(YEAR('W Sites'!$F$8),MONTH('W Sites'!$F$8),1),1-'W Assumptions'!$D$65,0))+'W Sites'!$G$8*'W Budget &amp; Owners'!$E$8*IF(C238=DATE(2027,9,1),'W Assumptions'!$D$67,IF(C238=DATE(2028,9,1),'W Assumptions'!$D$69,0))</f>
        <v>0</v>
      </c>
      <c r="W238" s="81" t="n">
        <f aca="false">IF(((YEAR(C238)-YEAR('W Sites'!$F$8))*12+MONTH(C238)-MONTH('W Sites'!$F$8))&lt;'W Budget &amp; Owners'!$H$8,'W Budget &amp; Owners'!$E$8/'W Budget &amp; Owners'!$H$8*F238,0)+IF(C238&gt;=DATE(2027,9,1),'W Budget &amp; Owners'!$E$8*'W Assumptions'!$D$67/'W Budget &amp; Owners'!$H$8*F238,0)+IF(C238&gt;=DATE(2028,9,1),'W Budget &amp; Owners'!$E$8*'W Assumptions'!$D$69/'W Budget &amp; Owners'!$H$8*F238,0)</f>
        <v>10200</v>
      </c>
      <c r="X238" s="81" t="n">
        <f aca="false">IF(C238='W Budget &amp; Owners'!$I$8,'W Budget &amp; Owners'!$G$8*'W Sites'!$G$8,0)</f>
        <v>0</v>
      </c>
      <c r="Y238" s="112" t="n">
        <f aca="false">IF(SUM($G$236:$G$245)=0,0,'W Fees &amp; KPI'!$Q$29*G238/SUM($G$236:$G$245))</f>
        <v>3553.58385887682</v>
      </c>
      <c r="Z238" s="119" t="n">
        <f aca="false">IF(SUM($G$236:$G$245)=0,0,SUM('W Fees &amp; KPI'!$J$29,'W Fees &amp; KPI'!$M$29)*G238/SUM($G$236:$G$245))</f>
        <v>4611.25</v>
      </c>
      <c r="AA238" s="117" t="n">
        <f aca="false">T238-U238-Z238-Y238</f>
        <v>73830.1861411233</v>
      </c>
      <c r="AB238" s="119" t="n">
        <f aca="false">IF('W Fees &amp; KPI'!$D$29=0,0,T238-U238-Z238)</f>
        <v>77383.7700000001</v>
      </c>
    </row>
    <row r="239" customFormat="false" ht="21" hidden="false" customHeight="true" outlineLevel="0" collapsed="false">
      <c r="C239" s="144" t="n">
        <f aca="false">46966</f>
        <v>46966</v>
      </c>
      <c r="D239" s="81" t="n">
        <f aca="false">2</f>
        <v>2</v>
      </c>
      <c r="E239" s="81" t="str">
        <f aca="false">'W Sites'!C9</f>
        <v>S04</v>
      </c>
      <c r="F239" s="145" t="n">
        <f aca="false">'W Sites'!$G$9*MAX(0,EOMONTH(C239,0)-MAX(C239,'W Sites'!$F$9)+1)/DAY(EOMONTH(C239,0))</f>
        <v>1</v>
      </c>
      <c r="G239" s="145" t="n">
        <f aca="false">'W Sites'!$G$9*MAX(0,EOMONTH(C239,0)-MAX(C239,'W Sites'!$F$9,'W Assumptions'!$D$58)+1)/DAY(EOMONTH(C239,0))</f>
        <v>1</v>
      </c>
      <c r="H239" s="81" t="n">
        <f aca="false">'W Sites'!$H$9*F239*'W Sites'!$I$9*IF(((YEAR(C239)-YEAR('W Sites'!$F$9))*12+MONTH(C239)-MONTH('W Sites'!$F$9))=0,'W Assumptions'!$D$62,IF(((YEAR(C239)-YEAR('W Sites'!$F$9))*12+MONTH(C239)-MONTH('W Sites'!$F$9))=1,'W Assumptions'!$D$63,1))*INDEX('W Assumptions'!$D$7:$F$7,1,D239)*INDEX('W Assumptions'!$D$32:$F$32,1,D239)*INDEX('W Assumptions'!$D$80:$D$91,MONTH(C239),1)/AVERAGE('W Assumptions'!$D$80:$D$91)</f>
        <v>1976.5625</v>
      </c>
      <c r="I239" s="81" t="n">
        <f aca="false">H239*'W Sites'!$J$9/(1+'W Assumptions'!$D$39)*INDEX('W Assumptions'!$D$12:$F$12,1,D239)*INDEX('W Assumptions'!$D$33:$F$33,1,D239)</f>
        <v>115070.3125</v>
      </c>
      <c r="J239" s="81" t="n">
        <f aca="false">H239*'W Sites'!$K$9/(1+'W Assumptions'!$D$39)*INDEX('W Assumptions'!$D$12:$F$12,1,D239)*INDEX('W Assumptions'!$D$33:$F$33,1,D239)</f>
        <v>12392.1875</v>
      </c>
      <c r="K239" s="81" t="n">
        <f aca="false">'W Sites'!$L$9*F239*IF(((YEAR(C239)-YEAR('W Sites'!$F$9))*12+MONTH(C239)-MONTH('W Sites'!$F$9))=0,'W Assumptions'!$D$62,IF(((YEAR(C239)-YEAR('W Sites'!$F$9))*12+MONTH(C239)-MONTH('W Sites'!$F$9))=1,'W Assumptions'!$D$63,1))*INDEX('W Assumptions'!$D$7:$F$7,1,D239)*INDEX('W Assumptions'!$D$32:$F$32,1,D239)</f>
        <v>16500</v>
      </c>
      <c r="L239" s="81" t="n">
        <f aca="false">SUM(I239:K239)</f>
        <v>143962.5</v>
      </c>
      <c r="M239" s="81" t="n">
        <f aca="false">'W Site Costs'!$I$9*F239*INDEX('W Assumptions'!$D$34:$F$34,1,D239)*INDEX('W Assumptions'!$D$22:$F$22,1,D239)</f>
        <v>39648</v>
      </c>
      <c r="N239" s="81" t="n">
        <f aca="false">'W Site Costs'!$J$9*F239*INDEX('W Assumptions'!$D$35:$F$35,1,D239)*INDEX('W Assumptions'!$D$22:$F$22,1,D239)</f>
        <v>22880</v>
      </c>
      <c r="O239" s="81" t="n">
        <f aca="false">L239*'W Site Costs'!$K$9</f>
        <v>0</v>
      </c>
      <c r="P239" s="81" t="n">
        <f aca="false">SUM('W Site Costs'!$L$9:$Q$9)*F239*INDEX('W Assumptions'!$D$35:$F$35,1,D239)*INDEX('W Assumptions'!$D$22:$F$22,1,D239)</f>
        <v>16120</v>
      </c>
      <c r="Q239" s="81" t="n">
        <f aca="false">L239*'W Site Costs'!$R$9*INDEX('W Assumptions'!$D$17:$F$17,1,D239)</f>
        <v>11517</v>
      </c>
      <c r="R239" s="112" t="n">
        <f aca="false">L239*'W Sites'!$M$9</f>
        <v>0</v>
      </c>
      <c r="S239" s="81" t="n">
        <f aca="false">SUM(M239:R239)</f>
        <v>90165</v>
      </c>
      <c r="T239" s="81" t="n">
        <f aca="false">L239-S239</f>
        <v>53797.5</v>
      </c>
      <c r="U239" s="81" t="n">
        <f aca="false">IF(C239='W Budget &amp; Owners'!$I$9,'W Budget &amp; Owners'!$F$9*'W Sites'!$G$9,0)</f>
        <v>0</v>
      </c>
      <c r="V239" s="81" t="n">
        <f aca="false">'W Sites'!$G$9*'W Budget &amp; Owners'!$E$9*INDEX('W Assumptions'!$D$27:$F$27,1,D239)*(IF(C239='W Budget &amp; Owners'!$I$9,'W Assumptions'!$D$65,0)+IF(C239=DATE(YEAR('W Sites'!$F$9),MONTH('W Sites'!$F$9),1),1-'W Assumptions'!$D$65,0))+'W Sites'!$G$9*'W Budget &amp; Owners'!$E$9*IF(C239=DATE(2027,9,1),'W Assumptions'!$D$67,IF(C239=DATE(2028,9,1),'W Assumptions'!$D$69,0))</f>
        <v>0</v>
      </c>
      <c r="W239" s="81" t="n">
        <f aca="false">IF(((YEAR(C239)-YEAR('W Sites'!$F$9))*12+MONTH(C239)-MONTH('W Sites'!$F$9))&lt;'W Budget &amp; Owners'!$H$9,'W Budget &amp; Owners'!$E$9/'W Budget &amp; Owners'!$H$9*F239,0)+IF(C239&gt;=DATE(2027,9,1),'W Budget &amp; Owners'!$E$9*'W Assumptions'!$D$67/'W Budget &amp; Owners'!$H$9*F239,0)+IF(C239&gt;=DATE(2028,9,1),'W Budget &amp; Owners'!$E$9*'W Assumptions'!$D$69/'W Budget &amp; Owners'!$H$9*F239,0)</f>
        <v>8500</v>
      </c>
      <c r="X239" s="81" t="n">
        <f aca="false">IF(C239='W Budget &amp; Owners'!$I$9,'W Budget &amp; Owners'!$G$9*'W Sites'!$G$9,0)</f>
        <v>0</v>
      </c>
      <c r="Y239" s="112" t="n">
        <f aca="false">IF(SUM($G$236:$G$245)=0,0,'W Fees &amp; KPI'!$Q$29*G239/SUM($G$236:$G$245))</f>
        <v>3553.58385887682</v>
      </c>
      <c r="Z239" s="119" t="n">
        <f aca="false">IF(SUM($G$236:$G$245)=0,0,SUM('W Fees &amp; KPI'!$J$29,'W Fees &amp; KPI'!$M$29)*G239/SUM($G$236:$G$245))</f>
        <v>4611.25</v>
      </c>
      <c r="AA239" s="117" t="n">
        <f aca="false">T239-U239-Z239-Y239</f>
        <v>45632.6661411232</v>
      </c>
      <c r="AB239" s="119" t="n">
        <f aca="false">IF('W Fees &amp; KPI'!$D$29=0,0,T239-U239-Z239)</f>
        <v>49186.25</v>
      </c>
    </row>
    <row r="240" customFormat="false" ht="21" hidden="false" customHeight="true" outlineLevel="0" collapsed="false">
      <c r="C240" s="144" t="n">
        <f aca="false">46966</f>
        <v>46966</v>
      </c>
      <c r="D240" s="81" t="n">
        <f aca="false">2</f>
        <v>2</v>
      </c>
      <c r="E240" s="81" t="str">
        <f aca="false">'W Sites'!C10</f>
        <v>S05</v>
      </c>
      <c r="F240" s="145" t="n">
        <f aca="false">'W Sites'!$G$10*MAX(0,EOMONTH(C240,0)-MAX(C240,'W Sites'!$F$10)+1)/DAY(EOMONTH(C240,0))</f>
        <v>1</v>
      </c>
      <c r="G240" s="145" t="n">
        <f aca="false">'W Sites'!$G$10*MAX(0,EOMONTH(C240,0)-MAX(C240,'W Sites'!$F$10,'W Assumptions'!$D$58)+1)/DAY(EOMONTH(C240,0))</f>
        <v>1</v>
      </c>
      <c r="H240" s="81" t="n">
        <f aca="false">'W Sites'!$H$10*F240*'W Sites'!$I$10*IF(((YEAR(C240)-YEAR('W Sites'!$F$10))*12+MONTH(C240)-MONTH('W Sites'!$F$10))=0,'W Assumptions'!$D$62,IF(((YEAR(C240)-YEAR('W Sites'!$F$10))*12+MONTH(C240)-MONTH('W Sites'!$F$10))=1,'W Assumptions'!$D$63,1))*INDEX('W Assumptions'!$D$7:$F$7,1,D240)*INDEX('W Assumptions'!$D$32:$F$32,1,D240)*INDEX('W Assumptions'!$D$80:$D$91,MONTH(C240),1)/AVERAGE('W Assumptions'!$D$80:$D$91)</f>
        <v>2526.53424657534</v>
      </c>
      <c r="I240" s="81" t="n">
        <f aca="false">H240*'W Sites'!$J$10/(1+'W Assumptions'!$D$39)*INDEX('W Assumptions'!$D$12:$F$12,1,D240)*INDEX('W Assumptions'!$D$33:$F$33,1,D240)</f>
        <v>147088.232876712</v>
      </c>
      <c r="J240" s="81" t="n">
        <f aca="false">H240*'W Sites'!$K$10/(1+'W Assumptions'!$D$39)*INDEX('W Assumptions'!$D$12:$F$12,1,D240)*INDEX('W Assumptions'!$D$33:$F$33,1,D240)</f>
        <v>18103.1671232877</v>
      </c>
      <c r="K240" s="81" t="n">
        <f aca="false">'W Sites'!$L$10*F240*IF(((YEAR(C240)-YEAR('W Sites'!$F$10))*12+MONTH(C240)-MONTH('W Sites'!$F$10))=0,'W Assumptions'!$D$62,IF(((YEAR(C240)-YEAR('W Sites'!$F$10))*12+MONTH(C240)-MONTH('W Sites'!$F$10))=1,'W Assumptions'!$D$63,1))*INDEX('W Assumptions'!$D$7:$F$7,1,D240)*INDEX('W Assumptions'!$D$32:$F$32,1,D240)</f>
        <v>19800</v>
      </c>
      <c r="L240" s="81" t="n">
        <f aca="false">SUM(I240:K240)</f>
        <v>184991.4</v>
      </c>
      <c r="M240" s="81" t="n">
        <f aca="false">'W Site Costs'!$I$10*F240*INDEX('W Assumptions'!$D$34:$F$34,1,D240)*INDEX('W Assumptions'!$D$22:$F$22,1,D240)</f>
        <v>50427.3</v>
      </c>
      <c r="N240" s="81" t="n">
        <f aca="false">'W Site Costs'!$J$10*F240*INDEX('W Assumptions'!$D$35:$F$35,1,D240)*INDEX('W Assumptions'!$D$22:$F$22,1,D240)</f>
        <v>31200</v>
      </c>
      <c r="O240" s="81" t="n">
        <f aca="false">L240*'W Site Costs'!$K$10</f>
        <v>0</v>
      </c>
      <c r="P240" s="81" t="n">
        <f aca="false">SUM('W Site Costs'!$L$10:$Q$10)*F240*INDEX('W Assumptions'!$D$35:$F$35,1,D240)*INDEX('W Assumptions'!$D$22:$F$22,1,D240)</f>
        <v>19760</v>
      </c>
      <c r="Q240" s="81" t="n">
        <f aca="false">L240*'W Site Costs'!$R$10*INDEX('W Assumptions'!$D$17:$F$17,1,D240)</f>
        <v>14799.312</v>
      </c>
      <c r="R240" s="112" t="n">
        <f aca="false">L240*'W Sites'!$M$10</f>
        <v>0</v>
      </c>
      <c r="S240" s="81" t="n">
        <f aca="false">SUM(M240:R240)</f>
        <v>116186.612</v>
      </c>
      <c r="T240" s="81" t="n">
        <f aca="false">L240-S240</f>
        <v>68804.788</v>
      </c>
      <c r="U240" s="81" t="n">
        <f aca="false">IF(C240='W Budget &amp; Owners'!$I$10,'W Budget &amp; Owners'!$F$10*'W Sites'!$G$10,0)</f>
        <v>0</v>
      </c>
      <c r="V240" s="81" t="n">
        <f aca="false">'W Sites'!$G$10*'W Budget &amp; Owners'!$E$10*INDEX('W Assumptions'!$D$27:$F$27,1,D240)*(IF(C240='W Budget &amp; Owners'!$I$10,'W Assumptions'!$D$65,0)+IF(C240=DATE(YEAR('W Sites'!$F$10),MONTH('W Sites'!$F$10),1),1-'W Assumptions'!$D$65,0))+'W Sites'!$G$10*'W Budget &amp; Owners'!$E$10*IF(C240=DATE(2027,9,1),'W Assumptions'!$D$67,IF(C240=DATE(2028,9,1),'W Assumptions'!$D$69,0))</f>
        <v>0</v>
      </c>
      <c r="W240" s="81" t="n">
        <f aca="false">IF(((YEAR(C240)-YEAR('W Sites'!$F$10))*12+MONTH(C240)-MONTH('W Sites'!$F$10))&lt;'W Budget &amp; Owners'!$H$10,'W Budget &amp; Owners'!$E$10/'W Budget &amp; Owners'!$H$10*F240,0)+IF(C240&gt;=DATE(2027,9,1),'W Budget &amp; Owners'!$E$10*'W Assumptions'!$D$67/'W Budget &amp; Owners'!$H$10*F240,0)+IF(C240&gt;=DATE(2028,9,1),'W Budget &amp; Owners'!$E$10*'W Assumptions'!$D$69/'W Budget &amp; Owners'!$H$10*F240,0)</f>
        <v>12750</v>
      </c>
      <c r="X240" s="81" t="n">
        <f aca="false">IF(C240='W Budget &amp; Owners'!$I$10,'W Budget &amp; Owners'!$G$10*'W Sites'!$G$10,0)</f>
        <v>0</v>
      </c>
      <c r="Y240" s="112" t="n">
        <f aca="false">IF(SUM($G$236:$G$245)=0,0,'W Fees &amp; KPI'!$Q$29*G240/SUM($G$236:$G$245))</f>
        <v>3553.58385887682</v>
      </c>
      <c r="Z240" s="119" t="n">
        <f aca="false">IF(SUM($G$236:$G$245)=0,0,SUM('W Fees &amp; KPI'!$J$29,'W Fees &amp; KPI'!$M$29)*G240/SUM($G$236:$G$245))</f>
        <v>4611.25</v>
      </c>
      <c r="AA240" s="117" t="n">
        <f aca="false">T240-U240-Z240-Y240</f>
        <v>60639.9541411232</v>
      </c>
      <c r="AB240" s="119" t="n">
        <f aca="false">IF('W Fees &amp; KPI'!$D$29=0,0,T240-U240-Z240)</f>
        <v>64193.538</v>
      </c>
    </row>
    <row r="241" customFormat="false" ht="21" hidden="false" customHeight="true" outlineLevel="0" collapsed="false">
      <c r="C241" s="144" t="n">
        <f aca="false">46966</f>
        <v>46966</v>
      </c>
      <c r="D241" s="81" t="n">
        <f aca="false">2</f>
        <v>2</v>
      </c>
      <c r="E241" s="81" t="str">
        <f aca="false">'W Sites'!C11</f>
        <v>S06</v>
      </c>
      <c r="F241" s="145" t="n">
        <f aca="false">'W Sites'!$G$11*MAX(0,EOMONTH(C241,0)-MAX(C241,'W Sites'!$F$11)+1)/DAY(EOMONTH(C241,0))</f>
        <v>1</v>
      </c>
      <c r="G241" s="145" t="n">
        <f aca="false">'W Sites'!$G$11*MAX(0,EOMONTH(C241,0)-MAX(C241,'W Sites'!$F$11,'W Assumptions'!$D$58)+1)/DAY(EOMONTH(C241,0))</f>
        <v>1</v>
      </c>
      <c r="H241" s="81" t="n">
        <f aca="false">'W Sites'!$H$11*F241*'W Sites'!$I$11*IF(((YEAR(C241)-YEAR('W Sites'!$F$11))*12+MONTH(C241)-MONTH('W Sites'!$F$11))=0,'W Assumptions'!$D$62,IF(((YEAR(C241)-YEAR('W Sites'!$F$11))*12+MONTH(C241)-MONTH('W Sites'!$F$11))=1,'W Assumptions'!$D$63,1))*INDEX('W Assumptions'!$D$7:$F$7,1,D241)*INDEX('W Assumptions'!$D$32:$F$32,1,D241)*INDEX('W Assumptions'!$D$80:$D$91,MONTH(C241),1)/AVERAGE('W Assumptions'!$D$80:$D$91)</f>
        <v>772.2</v>
      </c>
      <c r="I241" s="81" t="n">
        <f aca="false">H241*'W Sites'!$J$11/(1+'W Assumptions'!$D$39)*INDEX('W Assumptions'!$D$12:$F$12,1,D241)*INDEX('W Assumptions'!$D$33:$F$33,1,D241)</f>
        <v>41497.3565217391</v>
      </c>
      <c r="J241" s="81" t="n">
        <f aca="false">H241*'W Sites'!$K$11/(1+'W Assumptions'!$D$39)*INDEX('W Assumptions'!$D$12:$F$12,1,D241)*INDEX('W Assumptions'!$D$33:$F$33,1,D241)</f>
        <v>2074.86782608696</v>
      </c>
      <c r="K241" s="81" t="n">
        <f aca="false">'W Sites'!$L$11*F241*IF(((YEAR(C241)-YEAR('W Sites'!$F$11))*12+MONTH(C241)-MONTH('W Sites'!$F$11))=0,'W Assumptions'!$D$62,IF(((YEAR(C241)-YEAR('W Sites'!$F$11))*12+MONTH(C241)-MONTH('W Sites'!$F$11))=1,'W Assumptions'!$D$63,1))*INDEX('W Assumptions'!$D$7:$F$7,1,D241)*INDEX('W Assumptions'!$D$32:$F$32,1,D241)</f>
        <v>22000</v>
      </c>
      <c r="L241" s="81" t="n">
        <f aca="false">SUM(I241:K241)</f>
        <v>65572.2243478261</v>
      </c>
      <c r="M241" s="81" t="n">
        <f aca="false">'W Site Costs'!$I$11*F241*INDEX('W Assumptions'!$D$34:$F$34,1,D241)*INDEX('W Assumptions'!$D$22:$F$22,1,D241)</f>
        <v>25027.8</v>
      </c>
      <c r="N241" s="81" t="n">
        <f aca="false">'W Site Costs'!$J$11*F241*INDEX('W Assumptions'!$D$35:$F$35,1,D241)*INDEX('W Assumptions'!$D$22:$F$22,1,D241)</f>
        <v>5200</v>
      </c>
      <c r="O241" s="81" t="n">
        <f aca="false">L241*'W Site Costs'!$K$11</f>
        <v>0</v>
      </c>
      <c r="P241" s="81" t="n">
        <f aca="false">SUM('W Site Costs'!$L$11:$Q$11)*F241*INDEX('W Assumptions'!$D$35:$F$35,1,D241)*INDEX('W Assumptions'!$D$22:$F$22,1,D241)</f>
        <v>8320</v>
      </c>
      <c r="Q241" s="81" t="n">
        <f aca="false">L241*'W Site Costs'!$R$11*INDEX('W Assumptions'!$D$17:$F$17,1,D241)</f>
        <v>6557.22243478261</v>
      </c>
      <c r="R241" s="112" t="n">
        <f aca="false">L241*'W Sites'!$M$11</f>
        <v>0</v>
      </c>
      <c r="S241" s="81" t="n">
        <f aca="false">SUM(M241:R241)</f>
        <v>45105.0224347826</v>
      </c>
      <c r="T241" s="81" t="n">
        <f aca="false">L241-S241</f>
        <v>20467.2019130435</v>
      </c>
      <c r="U241" s="81" t="n">
        <f aca="false">IF(C241='W Budget &amp; Owners'!$I$11,'W Budget &amp; Owners'!$F$11*'W Sites'!$G$11,0)</f>
        <v>0</v>
      </c>
      <c r="V241" s="81" t="n">
        <f aca="false">'W Sites'!$G$11*'W Budget &amp; Owners'!$E$11*INDEX('W Assumptions'!$D$27:$F$27,1,D241)*(IF(C241='W Budget &amp; Owners'!$I$11,'W Assumptions'!$D$65,0)+IF(C241=DATE(YEAR('W Sites'!$F$11),MONTH('W Sites'!$F$11),1),1-'W Assumptions'!$D$65,0))+'W Sites'!$G$11*'W Budget &amp; Owners'!$E$11*IF(C241=DATE(2027,9,1),'W Assumptions'!$D$67,IF(C241=DATE(2028,9,1),'W Assumptions'!$D$69,0))</f>
        <v>0</v>
      </c>
      <c r="W241" s="81" t="n">
        <f aca="false">IF(((YEAR(C241)-YEAR('W Sites'!$F$11))*12+MONTH(C241)-MONTH('W Sites'!$F$11))&lt;'W Budget &amp; Owners'!$H$11,'W Budget &amp; Owners'!$E$11/'W Budget &amp; Owners'!$H$11*F241,0)+IF(C241&gt;=DATE(2027,9,1),'W Budget &amp; Owners'!$E$11*'W Assumptions'!$D$67/'W Budget &amp; Owners'!$H$11*F241,0)+IF(C241&gt;=DATE(2028,9,1),'W Budget &amp; Owners'!$E$11*'W Assumptions'!$D$69/'W Budget &amp; Owners'!$H$11*F241,0)</f>
        <v>2550</v>
      </c>
      <c r="X241" s="81" t="n">
        <f aca="false">IF(C241='W Budget &amp; Owners'!$I$11,'W Budget &amp; Owners'!$G$11*'W Sites'!$G$11,0)</f>
        <v>0</v>
      </c>
      <c r="Y241" s="112" t="n">
        <f aca="false">IF(SUM($G$236:$G$245)=0,0,'W Fees &amp; KPI'!$Q$29*G241/SUM($G$236:$G$245))</f>
        <v>3553.58385887682</v>
      </c>
      <c r="Z241" s="119" t="n">
        <f aca="false">IF(SUM($G$236:$G$245)=0,0,SUM('W Fees &amp; KPI'!$J$29,'W Fees &amp; KPI'!$M$29)*G241/SUM($G$236:$G$245))</f>
        <v>4611.25</v>
      </c>
      <c r="AA241" s="117" t="n">
        <f aca="false">T241-U241-Z241-Y241</f>
        <v>12302.3680541667</v>
      </c>
      <c r="AB241" s="119" t="n">
        <f aca="false">IF('W Fees &amp; KPI'!$D$29=0,0,T241-U241-Z241)</f>
        <v>15855.9519130435</v>
      </c>
    </row>
    <row r="242" customFormat="false" ht="21" hidden="false" customHeight="true" outlineLevel="0" collapsed="false">
      <c r="C242" s="144" t="n">
        <f aca="false">46966</f>
        <v>46966</v>
      </c>
      <c r="D242" s="81" t="n">
        <f aca="false">2</f>
        <v>2</v>
      </c>
      <c r="E242" s="81" t="str">
        <f aca="false">'W Sites'!C12</f>
        <v>S07</v>
      </c>
      <c r="F242" s="145" t="n">
        <f aca="false">'W Sites'!$G$12*MAX(0,EOMONTH(C242,0)-MAX(C242,'W Sites'!$F$12)+1)/DAY(EOMONTH(C242,0))</f>
        <v>1</v>
      </c>
      <c r="G242" s="145" t="n">
        <f aca="false">'W Sites'!$G$12*MAX(0,EOMONTH(C242,0)-MAX(C242,'W Sites'!$F$12,'W Assumptions'!$D$58)+1)/DAY(EOMONTH(C242,0))</f>
        <v>1</v>
      </c>
      <c r="H242" s="81" t="n">
        <f aca="false">'W Sites'!$H$12*F242*'W Sites'!$I$12*IF(((YEAR(C242)-YEAR('W Sites'!$F$12))*12+MONTH(C242)-MONTH('W Sites'!$F$12))=0,'W Assumptions'!$D$62,IF(((YEAR(C242)-YEAR('W Sites'!$F$12))*12+MONTH(C242)-MONTH('W Sites'!$F$12))=1,'W Assumptions'!$D$63,1))*INDEX('W Assumptions'!$D$7:$F$7,1,D242)*INDEX('W Assumptions'!$D$32:$F$32,1,D242)*INDEX('W Assumptions'!$D$80:$D$91,MONTH(C242),1)/AVERAGE('W Assumptions'!$D$80:$D$91)</f>
        <v>900.9</v>
      </c>
      <c r="I242" s="81" t="n">
        <f aca="false">H242*'W Sites'!$J$12/(1+'W Assumptions'!$D$39)*INDEX('W Assumptions'!$D$12:$F$12,1,D242)*INDEX('W Assumptions'!$D$33:$F$33,1,D242)</f>
        <v>48413.5826086957</v>
      </c>
      <c r="J242" s="81" t="n">
        <f aca="false">H242*'W Sites'!$K$12/(1+'W Assumptions'!$D$39)*INDEX('W Assumptions'!$D$12:$F$12,1,D242)*INDEX('W Assumptions'!$D$33:$F$33,1,D242)</f>
        <v>2420.67913043478</v>
      </c>
      <c r="K242" s="81" t="n">
        <f aca="false">'W Sites'!$L$12*F242*IF(((YEAR(C242)-YEAR('W Sites'!$F$12))*12+MONTH(C242)-MONTH('W Sites'!$F$12))=0,'W Assumptions'!$D$62,IF(((YEAR(C242)-YEAR('W Sites'!$F$12))*12+MONTH(C242)-MONTH('W Sites'!$F$12))=1,'W Assumptions'!$D$63,1))*INDEX('W Assumptions'!$D$7:$F$7,1,D242)*INDEX('W Assumptions'!$D$32:$F$32,1,D242)</f>
        <v>19800</v>
      </c>
      <c r="L242" s="81" t="n">
        <f aca="false">SUM(I242:K242)</f>
        <v>70634.2617391305</v>
      </c>
      <c r="M242" s="81" t="n">
        <f aca="false">'W Site Costs'!$I$12*F242*INDEX('W Assumptions'!$D$34:$F$34,1,D242)*INDEX('W Assumptions'!$D$22:$F$22,1,D242)</f>
        <v>25027.8</v>
      </c>
      <c r="N242" s="81" t="n">
        <f aca="false">'W Site Costs'!$J$12*F242*INDEX('W Assumptions'!$D$35:$F$35,1,D242)*INDEX('W Assumptions'!$D$22:$F$22,1,D242)</f>
        <v>8320</v>
      </c>
      <c r="O242" s="81" t="n">
        <f aca="false">L242*'W Site Costs'!$K$12</f>
        <v>0</v>
      </c>
      <c r="P242" s="81" t="n">
        <f aca="false">SUM('W Site Costs'!$L$12:$Q$12)*F242*INDEX('W Assumptions'!$D$35:$F$35,1,D242)*INDEX('W Assumptions'!$D$22:$F$22,1,D242)</f>
        <v>8840</v>
      </c>
      <c r="Q242" s="81" t="n">
        <f aca="false">L242*'W Site Costs'!$R$12*INDEX('W Assumptions'!$D$17:$F$17,1,D242)</f>
        <v>7063.42617391305</v>
      </c>
      <c r="R242" s="112" t="n">
        <f aca="false">L242*'W Sites'!$M$12</f>
        <v>0</v>
      </c>
      <c r="S242" s="81" t="n">
        <f aca="false">SUM(M242:R242)</f>
        <v>49251.2261739131</v>
      </c>
      <c r="T242" s="81" t="n">
        <f aca="false">L242-S242</f>
        <v>21383.0355652174</v>
      </c>
      <c r="U242" s="81" t="n">
        <f aca="false">IF(C242='W Budget &amp; Owners'!$I$12,'W Budget &amp; Owners'!$F$12*'W Sites'!$G$12,0)</f>
        <v>0</v>
      </c>
      <c r="V242" s="81" t="n">
        <f aca="false">'W Sites'!$G$12*'W Budget &amp; Owners'!$E$12*INDEX('W Assumptions'!$D$27:$F$27,1,D242)*(IF(C242='W Budget &amp; Owners'!$I$12,'W Assumptions'!$D$65,0)+IF(C242=DATE(YEAR('W Sites'!$F$12),MONTH('W Sites'!$F$12),1),1-'W Assumptions'!$D$65,0))+'W Sites'!$G$12*'W Budget &amp; Owners'!$E$12*IF(C242=DATE(2027,9,1),'W Assumptions'!$D$67,IF(C242=DATE(2028,9,1),'W Assumptions'!$D$69,0))</f>
        <v>0</v>
      </c>
      <c r="W242" s="81" t="n">
        <f aca="false">IF(((YEAR(C242)-YEAR('W Sites'!$F$12))*12+MONTH(C242)-MONTH('W Sites'!$F$12))&lt;'W Budget &amp; Owners'!$H$12,'W Budget &amp; Owners'!$E$12/'W Budget &amp; Owners'!$H$12*F242,0)+IF(C242&gt;=DATE(2027,9,1),'W Budget &amp; Owners'!$E$12*'W Assumptions'!$D$67/'W Budget &amp; Owners'!$H$12*F242,0)+IF(C242&gt;=DATE(2028,9,1),'W Budget &amp; Owners'!$E$12*'W Assumptions'!$D$69/'W Budget &amp; Owners'!$H$12*F242,0)</f>
        <v>7650</v>
      </c>
      <c r="X242" s="81" t="n">
        <f aca="false">IF(C242='W Budget &amp; Owners'!$I$12,'W Budget &amp; Owners'!$G$12*'W Sites'!$G$12,0)</f>
        <v>0</v>
      </c>
      <c r="Y242" s="112" t="n">
        <f aca="false">IF(SUM($G$236:$G$245)=0,0,'W Fees &amp; KPI'!$Q$29*G242/SUM($G$236:$G$245))</f>
        <v>3553.58385887682</v>
      </c>
      <c r="Z242" s="119" t="n">
        <f aca="false">IF(SUM($G$236:$G$245)=0,0,SUM('W Fees &amp; KPI'!$J$29,'W Fees &amp; KPI'!$M$29)*G242/SUM($G$236:$G$245))</f>
        <v>4611.25</v>
      </c>
      <c r="AA242" s="117" t="n">
        <f aca="false">T242-U242-Z242-Y242</f>
        <v>13218.2017063406</v>
      </c>
      <c r="AB242" s="119" t="n">
        <f aca="false">IF('W Fees &amp; KPI'!$D$29=0,0,T242-U242-Z242)</f>
        <v>16771.7855652174</v>
      </c>
    </row>
    <row r="243" customFormat="false" ht="21" hidden="false" customHeight="true" outlineLevel="0" collapsed="false">
      <c r="C243" s="144" t="n">
        <f aca="false">46966</f>
        <v>46966</v>
      </c>
      <c r="D243" s="81" t="n">
        <f aca="false">2</f>
        <v>2</v>
      </c>
      <c r="E243" s="81" t="str">
        <f aca="false">'W Sites'!C13</f>
        <v>S08</v>
      </c>
      <c r="F243" s="145" t="n">
        <f aca="false">'W Sites'!$G$13*MAX(0,EOMONTH(C243,0)-MAX(C243,'W Sites'!$F$13)+1)/DAY(EOMONTH(C243,0))</f>
        <v>1</v>
      </c>
      <c r="G243" s="145" t="n">
        <f aca="false">'W Sites'!$G$13*MAX(0,EOMONTH(C243,0)-MAX(C243,'W Sites'!$F$13,'W Assumptions'!$D$58)+1)/DAY(EOMONTH(C243,0))</f>
        <v>1</v>
      </c>
      <c r="H243" s="81" t="n">
        <f aca="false">'W Sites'!$H$13*F243*'W Sites'!$I$13*IF(((YEAR(C243)-YEAR('W Sites'!$F$13))*12+MONTH(C243)-MONTH('W Sites'!$F$13))=0,'W Assumptions'!$D$62,IF(((YEAR(C243)-YEAR('W Sites'!$F$13))*12+MONTH(C243)-MONTH('W Sites'!$F$13))=1,'W Assumptions'!$D$63,1))*INDEX('W Assumptions'!$D$7:$F$7,1,D243)*INDEX('W Assumptions'!$D$32:$F$32,1,D243)*INDEX('W Assumptions'!$D$80:$D$91,MONTH(C243),1)/AVERAGE('W Assumptions'!$D$80:$D$91)</f>
        <v>3861</v>
      </c>
      <c r="I243" s="81" t="n">
        <f aca="false">H243*'W Sites'!$J$13/(1+'W Assumptions'!$D$39)*INDEX('W Assumptions'!$D$12:$F$12,1,D243)*INDEX('W Assumptions'!$D$33:$F$33,1,D243)</f>
        <v>138324.52173913</v>
      </c>
      <c r="J243" s="81" t="n">
        <f aca="false">H243*'W Sites'!$K$13/(1+'W Assumptions'!$D$39)*INDEX('W Assumptions'!$D$12:$F$12,1,D243)*INDEX('W Assumptions'!$D$33:$F$33,1,D243)</f>
        <v>17290.5652173913</v>
      </c>
      <c r="K243" s="81" t="n">
        <f aca="false">'W Sites'!$L$13*F243*IF(((YEAR(C243)-YEAR('W Sites'!$F$13))*12+MONTH(C243)-MONTH('W Sites'!$F$13))=0,'W Assumptions'!$D$62,IF(((YEAR(C243)-YEAR('W Sites'!$F$13))*12+MONTH(C243)-MONTH('W Sites'!$F$13))=1,'W Assumptions'!$D$63,1))*INDEX('W Assumptions'!$D$7:$F$7,1,D243)*INDEX('W Assumptions'!$D$32:$F$32,1,D243)</f>
        <v>16500</v>
      </c>
      <c r="L243" s="81" t="n">
        <f aca="false">SUM(I243:K243)</f>
        <v>172115.086956522</v>
      </c>
      <c r="M243" s="81" t="n">
        <f aca="false">'W Site Costs'!$I$13*F243*INDEX('W Assumptions'!$D$34:$F$34,1,D243)*INDEX('W Assumptions'!$D$22:$F$22,1,D243)</f>
        <v>56002.8</v>
      </c>
      <c r="N243" s="81" t="n">
        <f aca="false">'W Site Costs'!$J$13*F243*INDEX('W Assumptions'!$D$35:$F$35,1,D243)*INDEX('W Assumptions'!$D$22:$F$22,1,D243)</f>
        <v>0</v>
      </c>
      <c r="O243" s="81" t="n">
        <f aca="false">L243*'W Site Costs'!$K$13</f>
        <v>17211.5086956522</v>
      </c>
      <c r="P243" s="81" t="n">
        <f aca="false">SUM('W Site Costs'!$L$13:$Q$13)*F243*INDEX('W Assumptions'!$D$35:$F$35,1,D243)*INDEX('W Assumptions'!$D$22:$F$22,1,D243)</f>
        <v>26520</v>
      </c>
      <c r="Q243" s="81" t="n">
        <f aca="false">L243*'W Site Costs'!$R$13*INDEX('W Assumptions'!$D$17:$F$17,1,D243)</f>
        <v>13769.2069565217</v>
      </c>
      <c r="R243" s="112" t="n">
        <f aca="false">L243*'W Sites'!$M$13</f>
        <v>0</v>
      </c>
      <c r="S243" s="81" t="n">
        <f aca="false">SUM(M243:R243)</f>
        <v>113503.515652174</v>
      </c>
      <c r="T243" s="81" t="n">
        <f aca="false">L243-S243</f>
        <v>58611.5713043478</v>
      </c>
      <c r="U243" s="81" t="n">
        <f aca="false">IF(C243='W Budget &amp; Owners'!$I$13,'W Budget &amp; Owners'!$F$13*'W Sites'!$G$13,0)</f>
        <v>0</v>
      </c>
      <c r="V243" s="81" t="n">
        <f aca="false">'W Sites'!$G$13*'W Budget &amp; Owners'!$E$13*INDEX('W Assumptions'!$D$27:$F$27,1,D243)*(IF(C243='W Budget &amp; Owners'!$I$13,'W Assumptions'!$D$65,0)+IF(C243=DATE(YEAR('W Sites'!$F$13),MONTH('W Sites'!$F$13),1),1-'W Assumptions'!$D$65,0))+'W Sites'!$G$13*'W Budget &amp; Owners'!$E$13*IF(C243=DATE(2027,9,1),'W Assumptions'!$D$67,IF(C243=DATE(2028,9,1),'W Assumptions'!$D$69,0))</f>
        <v>0</v>
      </c>
      <c r="W243" s="81" t="n">
        <f aca="false">IF(((YEAR(C243)-YEAR('W Sites'!$F$13))*12+MONTH(C243)-MONTH('W Sites'!$F$13))&lt;'W Budget &amp; Owners'!$H$13,'W Budget &amp; Owners'!$E$13/'W Budget &amp; Owners'!$H$13*F243,0)+IF(C243&gt;=DATE(2027,9,1),'W Budget &amp; Owners'!$E$13*'W Assumptions'!$D$67/'W Budget &amp; Owners'!$H$13*F243,0)+IF(C243&gt;=DATE(2028,9,1),'W Budget &amp; Owners'!$E$13*'W Assumptions'!$D$69/'W Budget &amp; Owners'!$H$13*F243,0)</f>
        <v>20400</v>
      </c>
      <c r="X243" s="81" t="n">
        <f aca="false">IF(C243='W Budget &amp; Owners'!$I$13,'W Budget &amp; Owners'!$G$13*'W Sites'!$G$13,0)</f>
        <v>0</v>
      </c>
      <c r="Y243" s="112" t="n">
        <f aca="false">IF(SUM($G$236:$G$245)=0,0,'W Fees &amp; KPI'!$Q$29*G243/SUM($G$236:$G$245))</f>
        <v>3553.58385887682</v>
      </c>
      <c r="Z243" s="119" t="n">
        <f aca="false">IF(SUM($G$236:$G$245)=0,0,SUM('W Fees &amp; KPI'!$J$29,'W Fees &amp; KPI'!$M$29)*G243/SUM($G$236:$G$245))</f>
        <v>4611.25</v>
      </c>
      <c r="AA243" s="117" t="n">
        <f aca="false">T243-U243-Z243-Y243</f>
        <v>50446.737445471</v>
      </c>
      <c r="AB243" s="119" t="n">
        <f aca="false">IF('W Fees &amp; KPI'!$D$29=0,0,T243-U243-Z243)</f>
        <v>54000.3213043478</v>
      </c>
    </row>
    <row r="244" customFormat="false" ht="21" hidden="false" customHeight="true" outlineLevel="0" collapsed="false">
      <c r="C244" s="144" t="n">
        <f aca="false">46966</f>
        <v>46966</v>
      </c>
      <c r="D244" s="81" t="n">
        <f aca="false">2</f>
        <v>2</v>
      </c>
      <c r="E244" s="81" t="str">
        <f aca="false">'W Sites'!C14</f>
        <v>S09</v>
      </c>
      <c r="F244" s="145" t="n">
        <f aca="false">'W Sites'!$G$14*MAX(0,EOMONTH(C244,0)-MAX(C244,'W Sites'!$F$14)+1)/DAY(EOMONTH(C244,0))</f>
        <v>0</v>
      </c>
      <c r="G244" s="145" t="n">
        <f aca="false">'W Sites'!$G$14*MAX(0,EOMONTH(C244,0)-MAX(C244,'W Sites'!$F$14,'W Assumptions'!$D$58)+1)/DAY(EOMONTH(C244,0))</f>
        <v>0</v>
      </c>
      <c r="H244" s="81" t="n">
        <f aca="false">'W Sites'!$H$14*F244*'W Sites'!$I$14*IF(((YEAR(C244)-YEAR('W Sites'!$F$14))*12+MONTH(C244)-MONTH('W Sites'!$F$14))=0,'W Assumptions'!$D$62,IF(((YEAR(C244)-YEAR('W Sites'!$F$14))*12+MONTH(C244)-MONTH('W Sites'!$F$14))=1,'W Assumptions'!$D$63,1))*INDEX('W Assumptions'!$D$7:$F$7,1,D244)*INDEX('W Assumptions'!$D$32:$F$32,1,D244)*INDEX('W Assumptions'!$D$80:$D$91,MONTH(C244),1)/AVERAGE('W Assumptions'!$D$80:$D$91)</f>
        <v>0</v>
      </c>
      <c r="I244" s="81" t="n">
        <f aca="false">H244*'W Sites'!$J$14/(1+'W Assumptions'!$D$39)*INDEX('W Assumptions'!$D$12:$F$12,1,D244)*INDEX('W Assumptions'!$D$33:$F$33,1,D244)</f>
        <v>0</v>
      </c>
      <c r="J244" s="81" t="n">
        <f aca="false">H244*'W Sites'!$K$14/(1+'W Assumptions'!$D$39)*INDEX('W Assumptions'!$D$12:$F$12,1,D244)*INDEX('W Assumptions'!$D$33:$F$33,1,D244)</f>
        <v>0</v>
      </c>
      <c r="K244" s="81" t="n">
        <f aca="false">'W Sites'!$L$14*F244*IF(((YEAR(C244)-YEAR('W Sites'!$F$14))*12+MONTH(C244)-MONTH('W Sites'!$F$14))=0,'W Assumptions'!$D$62,IF(((YEAR(C244)-YEAR('W Sites'!$F$14))*12+MONTH(C244)-MONTH('W Sites'!$F$14))=1,'W Assumptions'!$D$63,1))*INDEX('W Assumptions'!$D$7:$F$7,1,D244)*INDEX('W Assumptions'!$D$32:$F$32,1,D244)</f>
        <v>0</v>
      </c>
      <c r="L244" s="81" t="n">
        <f aca="false">SUM(I244:K244)</f>
        <v>0</v>
      </c>
      <c r="M244" s="81" t="n">
        <f aca="false">'W Site Costs'!$I$14*F244*INDEX('W Assumptions'!$D$34:$F$34,1,D244)*INDEX('W Assumptions'!$D$22:$F$22,1,D244)</f>
        <v>0</v>
      </c>
      <c r="N244" s="81" t="n">
        <f aca="false">'W Site Costs'!$J$14*F244*INDEX('W Assumptions'!$D$35:$F$35,1,D244)*INDEX('W Assumptions'!$D$22:$F$22,1,D244)</f>
        <v>0</v>
      </c>
      <c r="O244" s="81" t="n">
        <f aca="false">L244*'W Site Costs'!$K$14</f>
        <v>0</v>
      </c>
      <c r="P244" s="81" t="n">
        <f aca="false">SUM('W Site Costs'!$L$14:$Q$14)*F244*INDEX('W Assumptions'!$D$35:$F$35,1,D244)*INDEX('W Assumptions'!$D$22:$F$22,1,D244)</f>
        <v>0</v>
      </c>
      <c r="Q244" s="81" t="n">
        <f aca="false">L244*'W Site Costs'!$R$14*INDEX('W Assumptions'!$D$17:$F$17,1,D244)</f>
        <v>0</v>
      </c>
      <c r="R244" s="112" t="n">
        <f aca="false">L244*'W Sites'!$M$14</f>
        <v>0</v>
      </c>
      <c r="S244" s="81" t="n">
        <f aca="false">SUM(M244:R244)</f>
        <v>0</v>
      </c>
      <c r="T244" s="81" t="n">
        <f aca="false">L244-S244</f>
        <v>0</v>
      </c>
      <c r="U244" s="81" t="n">
        <f aca="false">IF(C244='W Budget &amp; Owners'!$I$14,'W Budget &amp; Owners'!$F$14*'W Sites'!$G$14,0)</f>
        <v>0</v>
      </c>
      <c r="V244" s="81" t="n">
        <f aca="false">'W Sites'!$G$14*'W Budget &amp; Owners'!$E$14*INDEX('W Assumptions'!$D$27:$F$27,1,D244)*(IF(C244='W Budget &amp; Owners'!$I$14,'W Assumptions'!$D$65,0)+IF(C244=DATE(YEAR('W Sites'!$F$14),MONTH('W Sites'!$F$14),1),1-'W Assumptions'!$D$65,0))+'W Sites'!$G$14*'W Budget &amp; Owners'!$E$14*IF(C244=DATE(2027,9,1),'W Assumptions'!$D$67,IF(C244=DATE(2028,9,1),'W Assumptions'!$D$69,0))</f>
        <v>0</v>
      </c>
      <c r="W244" s="81" t="n">
        <f aca="false">IF(((YEAR(C244)-YEAR('W Sites'!$F$14))*12+MONTH(C244)-MONTH('W Sites'!$F$14))&lt;'W Budget &amp; Owners'!$H$14,'W Budget &amp; Owners'!$E$14/'W Budget &amp; Owners'!$H$14*F244,0)+IF(C244&gt;=DATE(2027,9,1),'W Budget &amp; Owners'!$E$14*'W Assumptions'!$D$67/'W Budget &amp; Owners'!$H$14*F244,0)+IF(C244&gt;=DATE(2028,9,1),'W Budget &amp; Owners'!$E$14*'W Assumptions'!$D$69/'W Budget &amp; Owners'!$H$14*F244,0)</f>
        <v>0</v>
      </c>
      <c r="X244" s="81" t="n">
        <f aca="false">IF(C244='W Budget &amp; Owners'!$I$14,'W Budget &amp; Owners'!$G$14*'W Sites'!$G$14,0)</f>
        <v>0</v>
      </c>
      <c r="Y244" s="112" t="n">
        <f aca="false">IF(SUM($G$236:$G$245)=0,0,'W Fees &amp; KPI'!$Q$29*G244/SUM($G$236:$G$245))</f>
        <v>0</v>
      </c>
      <c r="Z244" s="119" t="n">
        <f aca="false">IF(SUM($G$236:$G$245)=0,0,SUM('W Fees &amp; KPI'!$J$29,'W Fees &amp; KPI'!$M$29)*G244/SUM($G$236:$G$245))</f>
        <v>0</v>
      </c>
      <c r="AA244" s="117" t="n">
        <f aca="false">T244-U244-Z244-Y244</f>
        <v>0</v>
      </c>
      <c r="AB244" s="119" t="n">
        <f aca="false">IF('W Fees &amp; KPI'!$D$29=0,0,T244-U244-Z244)</f>
        <v>0</v>
      </c>
    </row>
    <row r="245" customFormat="false" ht="21" hidden="false" customHeight="true" outlineLevel="0" collapsed="false">
      <c r="C245" s="144" t="n">
        <f aca="false">46966</f>
        <v>46966</v>
      </c>
      <c r="D245" s="81" t="n">
        <f aca="false">2</f>
        <v>2</v>
      </c>
      <c r="E245" s="81" t="str">
        <f aca="false">'W Sites'!C15</f>
        <v>S10</v>
      </c>
      <c r="F245" s="145" t="n">
        <f aca="false">'W Sites'!$G$15*MAX(0,EOMONTH(C245,0)-MAX(C245,'W Sites'!$F$15)+1)/DAY(EOMONTH(C245,0))</f>
        <v>0</v>
      </c>
      <c r="G245" s="145" t="n">
        <f aca="false">'W Sites'!$G$15*MAX(0,EOMONTH(C245,0)-MAX(C245,'W Sites'!$F$15,'W Assumptions'!$D$58)+1)/DAY(EOMONTH(C245,0))</f>
        <v>0</v>
      </c>
      <c r="H245" s="81" t="n">
        <f aca="false">'W Sites'!$H$15*F245*'W Sites'!$I$15*IF(((YEAR(C245)-YEAR('W Sites'!$F$15))*12+MONTH(C245)-MONTH('W Sites'!$F$15))=0,'W Assumptions'!$D$62,IF(((YEAR(C245)-YEAR('W Sites'!$F$15))*12+MONTH(C245)-MONTH('W Sites'!$F$15))=1,'W Assumptions'!$D$63,1))*INDEX('W Assumptions'!$D$7:$F$7,1,D245)*INDEX('W Assumptions'!$D$32:$F$32,1,D245)*INDEX('W Assumptions'!$D$80:$D$91,MONTH(C245),1)/AVERAGE('W Assumptions'!$D$80:$D$91)</f>
        <v>0</v>
      </c>
      <c r="I245" s="81" t="n">
        <f aca="false">H245*'W Sites'!$J$15/(1+'W Assumptions'!$D$39)*INDEX('W Assumptions'!$D$12:$F$12,1,D245)*INDEX('W Assumptions'!$D$33:$F$33,1,D245)</f>
        <v>0</v>
      </c>
      <c r="J245" s="81" t="n">
        <f aca="false">H245*'W Sites'!$K$15/(1+'W Assumptions'!$D$39)*INDEX('W Assumptions'!$D$12:$F$12,1,D245)*INDEX('W Assumptions'!$D$33:$F$33,1,D245)</f>
        <v>0</v>
      </c>
      <c r="K245" s="81" t="n">
        <f aca="false">'W Sites'!$L$15*F245*IF(((YEAR(C245)-YEAR('W Sites'!$F$15))*12+MONTH(C245)-MONTH('W Sites'!$F$15))=0,'W Assumptions'!$D$62,IF(((YEAR(C245)-YEAR('W Sites'!$F$15))*12+MONTH(C245)-MONTH('W Sites'!$F$15))=1,'W Assumptions'!$D$63,1))*INDEX('W Assumptions'!$D$7:$F$7,1,D245)*INDEX('W Assumptions'!$D$32:$F$32,1,D245)</f>
        <v>0</v>
      </c>
      <c r="L245" s="81" t="n">
        <f aca="false">SUM(I245:K245)</f>
        <v>0</v>
      </c>
      <c r="M245" s="81" t="n">
        <f aca="false">'W Site Costs'!$I$15*F245*INDEX('W Assumptions'!$D$34:$F$34,1,D245)*INDEX('W Assumptions'!$D$22:$F$22,1,D245)</f>
        <v>0</v>
      </c>
      <c r="N245" s="81" t="n">
        <f aca="false">'W Site Costs'!$J$15*F245*INDEX('W Assumptions'!$D$35:$F$35,1,D245)*INDEX('W Assumptions'!$D$22:$F$22,1,D245)</f>
        <v>0</v>
      </c>
      <c r="O245" s="81" t="n">
        <f aca="false">L245*'W Site Costs'!$K$15</f>
        <v>0</v>
      </c>
      <c r="P245" s="81" t="n">
        <f aca="false">SUM('W Site Costs'!$L$15:$Q$15)*F245*INDEX('W Assumptions'!$D$35:$F$35,1,D245)*INDEX('W Assumptions'!$D$22:$F$22,1,D245)</f>
        <v>0</v>
      </c>
      <c r="Q245" s="81" t="n">
        <f aca="false">L245*'W Site Costs'!$R$15*INDEX('W Assumptions'!$D$17:$F$17,1,D245)</f>
        <v>0</v>
      </c>
      <c r="R245" s="112" t="n">
        <f aca="false">L245*'W Sites'!$M$15</f>
        <v>0</v>
      </c>
      <c r="S245" s="81" t="n">
        <f aca="false">SUM(M245:R245)</f>
        <v>0</v>
      </c>
      <c r="T245" s="81" t="n">
        <f aca="false">L245-S245</f>
        <v>0</v>
      </c>
      <c r="U245" s="81" t="n">
        <f aca="false">IF(C245='W Budget &amp; Owners'!$I$15,'W Budget &amp; Owners'!$F$15*'W Sites'!$G$15,0)</f>
        <v>0</v>
      </c>
      <c r="V245" s="81" t="n">
        <f aca="false">'W Sites'!$G$15*'W Budget &amp; Owners'!$E$15*INDEX('W Assumptions'!$D$27:$F$27,1,D245)*(IF(C245='W Budget &amp; Owners'!$I$15,'W Assumptions'!$D$65,0)+IF(C245=DATE(YEAR('W Sites'!$F$15),MONTH('W Sites'!$F$15),1),1-'W Assumptions'!$D$65,0))+'W Sites'!$G$15*'W Budget &amp; Owners'!$E$15*IF(C245=DATE(2027,9,1),'W Assumptions'!$D$67,IF(C245=DATE(2028,9,1),'W Assumptions'!$D$69,0))</f>
        <v>0</v>
      </c>
      <c r="W245" s="81" t="n">
        <f aca="false">IF(((YEAR(C245)-YEAR('W Sites'!$F$15))*12+MONTH(C245)-MONTH('W Sites'!$F$15))&lt;'W Budget &amp; Owners'!$H$15,'W Budget &amp; Owners'!$E$15/'W Budget &amp; Owners'!$H$15*F245,0)+IF(C245&gt;=DATE(2027,9,1),'W Budget &amp; Owners'!$E$15*'W Assumptions'!$D$67/'W Budget &amp; Owners'!$H$15*F245,0)+IF(C245&gt;=DATE(2028,9,1),'W Budget &amp; Owners'!$E$15*'W Assumptions'!$D$69/'W Budget &amp; Owners'!$H$15*F245,0)</f>
        <v>0</v>
      </c>
      <c r="X245" s="81" t="n">
        <f aca="false">IF(C245='W Budget &amp; Owners'!$I$15,'W Budget &amp; Owners'!$G$15*'W Sites'!$G$15,0)</f>
        <v>0</v>
      </c>
      <c r="Y245" s="112" t="n">
        <f aca="false">IF(SUM($G$236:$G$245)=0,0,'W Fees &amp; KPI'!$Q$29*G245/SUM($G$236:$G$245))</f>
        <v>0</v>
      </c>
      <c r="Z245" s="119" t="n">
        <f aca="false">IF(SUM($G$236:$G$245)=0,0,SUM('W Fees &amp; KPI'!$J$29,'W Fees &amp; KPI'!$M$29)*G245/SUM($G$236:$G$245))</f>
        <v>0</v>
      </c>
      <c r="AA245" s="117" t="n">
        <f aca="false">T245-U245-Z245-Y245</f>
        <v>0</v>
      </c>
      <c r="AB245" s="119" t="n">
        <f aca="false">IF('W Fees &amp; KPI'!$D$29=0,0,T245-U245-Z245)</f>
        <v>0</v>
      </c>
    </row>
    <row r="246" customFormat="false" ht="21" hidden="false" customHeight="true" outlineLevel="0" collapsed="false">
      <c r="C246" s="144" t="n">
        <f aca="false">46997</f>
        <v>46997</v>
      </c>
      <c r="D246" s="81" t="n">
        <f aca="false">3</f>
        <v>3</v>
      </c>
      <c r="E246" s="81" t="str">
        <f aca="false">'W Sites'!C6</f>
        <v>S01</v>
      </c>
      <c r="F246" s="145" t="n">
        <f aca="false">'W Sites'!$G$6*MAX(0,EOMONTH(C246,0)-MAX(C246,'W Sites'!$F$6)+1)/DAY(EOMONTH(C246,0))</f>
        <v>1</v>
      </c>
      <c r="G246" s="145" t="n">
        <f aca="false">'W Sites'!$G$6*MAX(0,EOMONTH(C246,0)-MAX(C246,'W Sites'!$F$6,'W Assumptions'!$D$58)+1)/DAY(EOMONTH(C246,0))</f>
        <v>1</v>
      </c>
      <c r="H246" s="81" t="n">
        <f aca="false">'W Sites'!$D$45*INDEX('W Sites'!$E$65:$E$76,MONTH(C246),1)/SUM('W Sites'!$E$65:$E$76)*F246*(1+'W Sites'!$D$56)^(D246-1)*INDEX('W Assumptions'!$D$7:$F$7,1,D246)</f>
        <v>3292.148</v>
      </c>
      <c r="I246" s="81" t="n">
        <f aca="false">H246*'W Sites'!$D$46/(1+'W Sites'!$D$54*'W Assumptions'!$D$39)*INDEX('W Assumptions'!$D$12:$F$12,1,D246)</f>
        <v>181068.14</v>
      </c>
      <c r="J246" s="81" t="n">
        <f aca="false">H246*SUM('W Sites'!$D$47:$D$49)/(1+'W Sites'!$D$54*'W Assumptions'!$D$39)*INDEX('W Assumptions'!$D$12:$F$12,1,D246)</f>
        <v>98764.44</v>
      </c>
      <c r="K246" s="81" t="n">
        <f aca="false">SUM('W Sites'!$D$50:$D$52)/12*F246*(1+'W Sites'!$D$56)^(D246-1)*INDEX('W Assumptions'!$D$7:$F$7,1,D246)*INDEX('W Assumptions'!$D$12:$F$12,1,D246)/(1+'W Sites'!$D$54*'W Assumptions'!$D$39)</f>
        <v>37453.3333333333</v>
      </c>
      <c r="L246" s="81" t="n">
        <f aca="false">SUM(I246:K246)</f>
        <v>317285.913333333</v>
      </c>
      <c r="M246" s="81" t="n">
        <f aca="false">('W Site Costs'!$I$6+INDEX('W Sites'!$F$65:$F$76,MONTH(C246),1)*'W Site Costs'!$V$6)*F246*(1+'W Sites'!$D$58)^(D246-1)*INDEX('W Assumptions'!$D$22:$F$22,1,D246)</f>
        <v>117353.6</v>
      </c>
      <c r="N246" s="81" t="n">
        <f aca="false">'W Site Costs'!$J$6*F246*INDEX('W Assumptions'!$D$35:$F$35,1,D246)*INDEX('W Assumptions'!$D$22:$F$22,1,D246)</f>
        <v>16224</v>
      </c>
      <c r="O246" s="81" t="n">
        <f aca="false">L246*'W Site Costs'!$K$6</f>
        <v>0</v>
      </c>
      <c r="P246" s="81" t="n">
        <f aca="false">(SUM('W Site Costs'!$L$6:$Q$6)+INDEX('W Sites'!$F$65:$F$76,MONTH(C246),1)*'W Site Costs'!$W$6)*F246*(1+'W Sites'!$D$58)^(D246-1)*INDEX('W Assumptions'!$D$22:$F$22,1,D246)</f>
        <v>80038.4</v>
      </c>
      <c r="Q246" s="81" t="n">
        <f aca="false">('W Site Costs'!$X$6+INDEX('W Sites'!$F$65:$F$76,MONTH(C246),1)*'W Site Costs'!$Y$6)*F246*(1+'W Sites'!$D$58)^(D246-1)*INDEX('W Assumptions'!$D$17:$F$17,1,D246)</f>
        <v>19468.8</v>
      </c>
      <c r="R246" s="112" t="n">
        <f aca="false">L246*'W Sites'!$M$6</f>
        <v>0</v>
      </c>
      <c r="S246" s="81" t="n">
        <f aca="false">SUM(M246:R246)</f>
        <v>233084.8</v>
      </c>
      <c r="T246" s="81" t="n">
        <f aca="false">L246-S246</f>
        <v>84201.1133333335</v>
      </c>
      <c r="U246" s="81" t="n">
        <f aca="false">IF(C246='W Budget &amp; Owners'!$I$6,'W Budget &amp; Owners'!$F$6*'W Sites'!$G$6,0)</f>
        <v>0</v>
      </c>
      <c r="V246" s="81" t="n">
        <f aca="false">'W Sites'!$G$6*'W Budget &amp; Owners'!$E$6*INDEX('W Assumptions'!$D$27:$F$27,1,D246)*(IF(C246='W Budget &amp; Owners'!$I$6,'W Assumptions'!$D$65,0)+IF(C246=DATE(YEAR('W Sites'!$F$6),MONTH('W Sites'!$F$6),1),1-'W Assumptions'!$D$65,0))+'W Sites'!$G$6*'W Budget &amp; Owners'!$E$6*IF(C246=DATE(2027,9,1),'W Assumptions'!$D$67,IF(C246=DATE(2028,9,1),'W Assumptions'!$D$69,0))</f>
        <v>10500</v>
      </c>
      <c r="W246" s="81" t="n">
        <f aca="false">IF(((YEAR(C246)-YEAR('W Sites'!$F$6))*12+MONTH(C246)-MONTH('W Sites'!$F$6))&lt;'W Budget &amp; Owners'!$H$6,'W Budget &amp; Owners'!$E$6/'W Budget &amp; Owners'!$H$6*F246,0)+IF(C246&gt;=DATE(2027,9,1),'W Budget &amp; Owners'!$E$6*'W Assumptions'!$D$67/'W Budget &amp; Owners'!$H$6*F246,0)+IF(C246&gt;=DATE(2028,9,1),'W Budget &amp; Owners'!$E$6*'W Assumptions'!$D$69/'W Budget &amp; Owners'!$H$6*F246,0)</f>
        <v>6125</v>
      </c>
      <c r="X246" s="81" t="n">
        <f aca="false">IF(C246='W Budget &amp; Owners'!$I$6,'W Budget &amp; Owners'!$G$6*'W Sites'!$G$6,0)</f>
        <v>0</v>
      </c>
      <c r="Y246" s="112" t="n">
        <f aca="false">IF(SUM($G$246:$G$255)=0,0,'W Fees &amp; KPI'!$Q$30*G246/SUM($G$246:$G$255))</f>
        <v>3214.27221165507</v>
      </c>
      <c r="Z246" s="119" t="n">
        <f aca="false">IF(SUM($G$246:$G$255)=0,0,SUM('W Fees &amp; KPI'!$J$30,'W Fees &amp; KPI'!$M$30)*G246/SUM($G$246:$G$255))</f>
        <v>5223.75</v>
      </c>
      <c r="AA246" s="117" t="n">
        <f aca="false">T246-U246-Z246-Y246</f>
        <v>75763.0911216784</v>
      </c>
      <c r="AB246" s="119" t="n">
        <f aca="false">IF('W Fees &amp; KPI'!$D$30=0,0,T246-U246-Z246)</f>
        <v>78977.3633333335</v>
      </c>
    </row>
    <row r="247" customFormat="false" ht="21" hidden="false" customHeight="true" outlineLevel="0" collapsed="false">
      <c r="C247" s="144" t="n">
        <f aca="false">46997</f>
        <v>46997</v>
      </c>
      <c r="D247" s="81" t="n">
        <f aca="false">3</f>
        <v>3</v>
      </c>
      <c r="E247" s="81" t="str">
        <f aca="false">'W Sites'!C7</f>
        <v>S02</v>
      </c>
      <c r="F247" s="145" t="n">
        <f aca="false">'W Sites'!$G$7*MAX(0,EOMONTH(C247,0)-MAX(C247,'W Sites'!$F$7)+1)/DAY(EOMONTH(C247,0))</f>
        <v>1</v>
      </c>
      <c r="G247" s="145" t="n">
        <f aca="false">'W Sites'!$G$7*MAX(0,EOMONTH(C247,0)-MAX(C247,'W Sites'!$F$7,'W Assumptions'!$D$58)+1)/DAY(EOMONTH(C247,0))</f>
        <v>1</v>
      </c>
      <c r="H247" s="81" t="n">
        <f aca="false">'W Sites'!$H$7*F247*'W Sites'!$I$7*IF(((YEAR(C247)-YEAR('W Sites'!$F$7))*12+MONTH(C247)-MONTH('W Sites'!$F$7))=0,'W Assumptions'!$D$62,IF(((YEAR(C247)-YEAR('W Sites'!$F$7))*12+MONTH(C247)-MONTH('W Sites'!$F$7))=1,'W Assumptions'!$D$63,1))*INDEX('W Assumptions'!$D$7:$F$7,1,D247)*INDEX('W Assumptions'!$D$32:$F$32,1,D247)*INDEX('W Assumptions'!$D$80:$D$91,MONTH(C247),1)/AVERAGE('W Assumptions'!$D$80:$D$91)</f>
        <v>2494.8</v>
      </c>
      <c r="I247" s="81" t="n">
        <f aca="false">H247*'W Sites'!$J$7/(1+'W Assumptions'!$D$39)*INDEX('W Assumptions'!$D$12:$F$12,1,D247)*INDEX('W Assumptions'!$D$33:$F$33,1,D247)</f>
        <v>80552.7532173913</v>
      </c>
      <c r="J247" s="81" t="n">
        <f aca="false">H247*'W Sites'!$K$7/(1+'W Assumptions'!$D$39)*INDEX('W Assumptions'!$D$12:$F$12,1,D247)*INDEX('W Assumptions'!$D$33:$F$33,1,D247)</f>
        <v>6904.52170434783</v>
      </c>
      <c r="K247" s="81" t="n">
        <f aca="false">'W Sites'!$L$7*F247*IF(((YEAR(C247)-YEAR('W Sites'!$F$7))*12+MONTH(C247)-MONTH('W Sites'!$F$7))=0,'W Assumptions'!$D$62,IF(((YEAR(C247)-YEAR('W Sites'!$F$7))*12+MONTH(C247)-MONTH('W Sites'!$F$7))=1,'W Assumptions'!$D$63,1))*INDEX('W Assumptions'!$D$7:$F$7,1,D247)*INDEX('W Assumptions'!$D$32:$F$32,1,D247)</f>
        <v>5940</v>
      </c>
      <c r="L247" s="81" t="n">
        <f aca="false">SUM(I247:K247)</f>
        <v>93397.2749217391</v>
      </c>
      <c r="M247" s="81" t="n">
        <f aca="false">'W Site Costs'!$I$7*F247*INDEX('W Assumptions'!$D$34:$F$34,1,D247)*INDEX('W Assumptions'!$D$22:$F$22,1,D247)</f>
        <v>35776.125</v>
      </c>
      <c r="N247" s="81" t="n">
        <f aca="false">'W Site Costs'!$J$7*F247*INDEX('W Assumptions'!$D$35:$F$35,1,D247)*INDEX('W Assumptions'!$D$22:$F$22,1,D247)</f>
        <v>0</v>
      </c>
      <c r="O247" s="81" t="n">
        <f aca="false">L247*'W Site Costs'!$K$7</f>
        <v>14009.5912382609</v>
      </c>
      <c r="P247" s="81" t="n">
        <f aca="false">SUM('W Site Costs'!$L$7:$Q$7)*F247*INDEX('W Assumptions'!$D$35:$F$35,1,D247)*INDEX('W Assumptions'!$D$22:$F$22,1,D247)</f>
        <v>12654.72</v>
      </c>
      <c r="Q247" s="81" t="n">
        <f aca="false">L247*'W Site Costs'!$R$7*INDEX('W Assumptions'!$D$17:$F$17,1,D247)</f>
        <v>5603.83649530435</v>
      </c>
      <c r="R247" s="112" t="n">
        <f aca="false">L247*'W Sites'!$M$7</f>
        <v>0</v>
      </c>
      <c r="S247" s="81" t="n">
        <f aca="false">SUM(M247:R247)</f>
        <v>68044.2727335652</v>
      </c>
      <c r="T247" s="81" t="n">
        <f aca="false">L247-S247</f>
        <v>25353.0021881739</v>
      </c>
      <c r="U247" s="81" t="n">
        <f aca="false">IF(C247='W Budget &amp; Owners'!$I$7,'W Budget &amp; Owners'!$F$7*'W Sites'!$G$7,0)</f>
        <v>0</v>
      </c>
      <c r="V247" s="81" t="n">
        <f aca="false">'W Sites'!$G$7*'W Budget &amp; Owners'!$E$7*INDEX('W Assumptions'!$D$27:$F$27,1,D247)*(IF(C247='W Budget &amp; Owners'!$I$7,'W Assumptions'!$D$65,0)+IF(C247=DATE(YEAR('W Sites'!$F$7),MONTH('W Sites'!$F$7),1),1-'W Assumptions'!$D$65,0))+'W Sites'!$G$7*'W Budget &amp; Owners'!$E$7*IF(C247=DATE(2027,9,1),'W Assumptions'!$D$67,IF(C247=DATE(2028,9,1),'W Assumptions'!$D$69,0))</f>
        <v>2400</v>
      </c>
      <c r="W247" s="81" t="n">
        <f aca="false">IF(((YEAR(C247)-YEAR('W Sites'!$F$7))*12+MONTH(C247)-MONTH('W Sites'!$F$7))&lt;'W Budget &amp; Owners'!$H$7,'W Budget &amp; Owners'!$E$7/'W Budget &amp; Owners'!$H$7*F247,0)+IF(C247&gt;=DATE(2027,9,1),'W Budget &amp; Owners'!$E$7*'W Assumptions'!$D$67/'W Budget &amp; Owners'!$H$7*F247,0)+IF(C247&gt;=DATE(2028,9,1),'W Budget &amp; Owners'!$E$7*'W Assumptions'!$D$69/'W Budget &amp; Owners'!$H$7*F247,0)</f>
        <v>1400</v>
      </c>
      <c r="X247" s="81" t="n">
        <f aca="false">IF(C247='W Budget &amp; Owners'!$I$7,'W Budget &amp; Owners'!$G$7*'W Sites'!$G$7,0)</f>
        <v>0</v>
      </c>
      <c r="Y247" s="112" t="n">
        <f aca="false">IF(SUM($G$246:$G$255)=0,0,'W Fees &amp; KPI'!$Q$30*G247/SUM($G$246:$G$255))</f>
        <v>3214.27221165507</v>
      </c>
      <c r="Z247" s="119" t="n">
        <f aca="false">IF(SUM($G$246:$G$255)=0,0,SUM('W Fees &amp; KPI'!$J$30,'W Fees &amp; KPI'!$M$30)*G247/SUM($G$246:$G$255))</f>
        <v>5223.75</v>
      </c>
      <c r="AA247" s="117" t="n">
        <f aca="false">T247-U247-Z247-Y247</f>
        <v>16914.9799765188</v>
      </c>
      <c r="AB247" s="119" t="n">
        <f aca="false">IF('W Fees &amp; KPI'!$D$30=0,0,T247-U247-Z247)</f>
        <v>20129.2521881739</v>
      </c>
    </row>
    <row r="248" customFormat="false" ht="21" hidden="false" customHeight="true" outlineLevel="0" collapsed="false">
      <c r="C248" s="144" t="n">
        <f aca="false">46997</f>
        <v>46997</v>
      </c>
      <c r="D248" s="81" t="n">
        <f aca="false">3</f>
        <v>3</v>
      </c>
      <c r="E248" s="81" t="str">
        <f aca="false">'W Sites'!C8</f>
        <v>S03</v>
      </c>
      <c r="F248" s="145" t="n">
        <f aca="false">'W Sites'!$G$8*MAX(0,EOMONTH(C248,0)-MAX(C248,'W Sites'!$F$8)+1)/DAY(EOMONTH(C248,0))</f>
        <v>1</v>
      </c>
      <c r="G248" s="145" t="n">
        <f aca="false">'W Sites'!$G$8*MAX(0,EOMONTH(C248,0)-MAX(C248,'W Sites'!$F$8,'W Assumptions'!$D$58)+1)/DAY(EOMONTH(C248,0))</f>
        <v>1</v>
      </c>
      <c r="H248" s="81" t="n">
        <f aca="false">'W Sites'!$H$8*F248*'W Sites'!$I$8*IF(((YEAR(C248)-YEAR('W Sites'!$F$8))*12+MONTH(C248)-MONTH('W Sites'!$F$8))=0,'W Assumptions'!$D$62,IF(((YEAR(C248)-YEAR('W Sites'!$F$8))*12+MONTH(C248)-MONTH('W Sites'!$F$8))=1,'W Assumptions'!$D$63,1))*INDEX('W Assumptions'!$D$7:$F$7,1,D248)*INDEX('W Assumptions'!$D$32:$F$32,1,D248)*INDEX('W Assumptions'!$D$80:$D$91,MONTH(C248),1)/AVERAGE('W Assumptions'!$D$80:$D$91)</f>
        <v>3368.71232876712</v>
      </c>
      <c r="I248" s="81" t="n">
        <f aca="false">H248*'W Sites'!$J$8/(1+'W Assumptions'!$D$39)*INDEX('W Assumptions'!$D$12:$F$12,1,D248)*INDEX('W Assumptions'!$D$33:$F$33,1,D248)</f>
        <v>202001.173150685</v>
      </c>
      <c r="J248" s="81" t="n">
        <f aca="false">H248*'W Sites'!$K$8/(1+'W Assumptions'!$D$39)*INDEX('W Assumptions'!$D$12:$F$12,1,D248)*INDEX('W Assumptions'!$D$33:$F$33,1,D248)</f>
        <v>24861.6828493151</v>
      </c>
      <c r="K248" s="81" t="n">
        <f aca="false">'W Sites'!$L$8*F248*IF(((YEAR(C248)-YEAR('W Sites'!$F$8))*12+MONTH(C248)-MONTH('W Sites'!$F$8))=0,'W Assumptions'!$D$62,IF(((YEAR(C248)-YEAR('W Sites'!$F$8))*12+MONTH(C248)-MONTH('W Sites'!$F$8))=1,'W Assumptions'!$D$63,1))*INDEX('W Assumptions'!$D$7:$F$7,1,D248)*INDEX('W Assumptions'!$D$32:$F$32,1,D248)</f>
        <v>23760</v>
      </c>
      <c r="L248" s="81" t="n">
        <f aca="false">SUM(I248:K248)</f>
        <v>250622.856</v>
      </c>
      <c r="M248" s="81" t="n">
        <f aca="false">'W Site Costs'!$I$8*F248*INDEX('W Assumptions'!$D$34:$F$34,1,D248)*INDEX('W Assumptions'!$D$22:$F$22,1,D248)</f>
        <v>52948.665</v>
      </c>
      <c r="N248" s="81" t="n">
        <f aca="false">'W Site Costs'!$J$8*F248*INDEX('W Assumptions'!$D$35:$F$35,1,D248)*INDEX('W Assumptions'!$D$22:$F$22,1,D248)</f>
        <v>37856</v>
      </c>
      <c r="O248" s="81" t="n">
        <f aca="false">L248*'W Site Costs'!$K$8</f>
        <v>0</v>
      </c>
      <c r="P248" s="81" t="n">
        <f aca="false">SUM('W Site Costs'!$L$8:$Q$8)*F248*INDEX('W Assumptions'!$D$35:$F$35,1,D248)*INDEX('W Assumptions'!$D$22:$F$22,1,D248)</f>
        <v>21091.2</v>
      </c>
      <c r="Q248" s="81" t="n">
        <f aca="false">L248*'W Site Costs'!$R$8*INDEX('W Assumptions'!$D$17:$F$17,1,D248)</f>
        <v>20049.82848</v>
      </c>
      <c r="R248" s="112" t="n">
        <f aca="false">L248*'W Sites'!$M$8</f>
        <v>0</v>
      </c>
      <c r="S248" s="81" t="n">
        <f aca="false">SUM(M248:R248)</f>
        <v>131945.69348</v>
      </c>
      <c r="T248" s="81" t="n">
        <f aca="false">L248-S248</f>
        <v>118677.16252</v>
      </c>
      <c r="U248" s="81" t="n">
        <f aca="false">IF(C248='W Budget &amp; Owners'!$I$8,'W Budget &amp; Owners'!$F$8*'W Sites'!$G$8,0)</f>
        <v>0</v>
      </c>
      <c r="V248" s="81" t="n">
        <f aca="false">'W Sites'!$G$8*'W Budget &amp; Owners'!$E$8*INDEX('W Assumptions'!$D$27:$F$27,1,D248)*(IF(C248='W Budget &amp; Owners'!$I$8,'W Assumptions'!$D$65,0)+IF(C248=DATE(YEAR('W Sites'!$F$8),MONTH('W Sites'!$F$8),1),1-'W Assumptions'!$D$65,0))+'W Sites'!$G$8*'W Budget &amp; Owners'!$E$8*IF(C248=DATE(2027,9,1),'W Assumptions'!$D$67,IF(C248=DATE(2028,9,1),'W Assumptions'!$D$69,0))</f>
        <v>18000</v>
      </c>
      <c r="W248" s="81" t="n">
        <f aca="false">IF(((YEAR(C248)-YEAR('W Sites'!$F$8))*12+MONTH(C248)-MONTH('W Sites'!$F$8))&lt;'W Budget &amp; Owners'!$H$8,'W Budget &amp; Owners'!$E$8/'W Budget &amp; Owners'!$H$8*F248,0)+IF(C248&gt;=DATE(2027,9,1),'W Budget &amp; Owners'!$E$8*'W Assumptions'!$D$67/'W Budget &amp; Owners'!$H$8*F248,0)+IF(C248&gt;=DATE(2028,9,1),'W Budget &amp; Owners'!$E$8*'W Assumptions'!$D$69/'W Budget &amp; Owners'!$H$8*F248,0)</f>
        <v>10500</v>
      </c>
      <c r="X248" s="81" t="n">
        <f aca="false">IF(C248='W Budget &amp; Owners'!$I$8,'W Budget &amp; Owners'!$G$8*'W Sites'!$G$8,0)</f>
        <v>0</v>
      </c>
      <c r="Y248" s="112" t="n">
        <f aca="false">IF(SUM($G$246:$G$255)=0,0,'W Fees &amp; KPI'!$Q$30*G248/SUM($G$246:$G$255))</f>
        <v>3214.27221165507</v>
      </c>
      <c r="Z248" s="119" t="n">
        <f aca="false">IF(SUM($G$246:$G$255)=0,0,SUM('W Fees &amp; KPI'!$J$30,'W Fees &amp; KPI'!$M$30)*G248/SUM($G$246:$G$255))</f>
        <v>5223.75</v>
      </c>
      <c r="AA248" s="117" t="n">
        <f aca="false">T248-U248-Z248-Y248</f>
        <v>110239.140308345</v>
      </c>
      <c r="AB248" s="119" t="n">
        <f aca="false">IF('W Fees &amp; KPI'!$D$30=0,0,T248-U248-Z248)</f>
        <v>113453.41252</v>
      </c>
    </row>
    <row r="249" customFormat="false" ht="21" hidden="false" customHeight="true" outlineLevel="0" collapsed="false">
      <c r="C249" s="144" t="n">
        <f aca="false">46997</f>
        <v>46997</v>
      </c>
      <c r="D249" s="81" t="n">
        <f aca="false">3</f>
        <v>3</v>
      </c>
      <c r="E249" s="81" t="str">
        <f aca="false">'W Sites'!C9</f>
        <v>S04</v>
      </c>
      <c r="F249" s="145" t="n">
        <f aca="false">'W Sites'!$G$9*MAX(0,EOMONTH(C249,0)-MAX(C249,'W Sites'!$F$9)+1)/DAY(EOMONTH(C249,0))</f>
        <v>1</v>
      </c>
      <c r="G249" s="145" t="n">
        <f aca="false">'W Sites'!$G$9*MAX(0,EOMONTH(C249,0)-MAX(C249,'W Sites'!$F$9,'W Assumptions'!$D$58)+1)/DAY(EOMONTH(C249,0))</f>
        <v>1</v>
      </c>
      <c r="H249" s="81" t="n">
        <f aca="false">'W Sites'!$H$9*F249*'W Sites'!$I$9*IF(((YEAR(C249)-YEAR('W Sites'!$F$9))*12+MONTH(C249)-MONTH('W Sites'!$F$9))=0,'W Assumptions'!$D$62,IF(((YEAR(C249)-YEAR('W Sites'!$F$9))*12+MONTH(C249)-MONTH('W Sites'!$F$9))=1,'W Assumptions'!$D$63,1))*INDEX('W Assumptions'!$D$7:$F$7,1,D249)*INDEX('W Assumptions'!$D$32:$F$32,1,D249)*INDEX('W Assumptions'!$D$80:$D$91,MONTH(C249),1)/AVERAGE('W Assumptions'!$D$80:$D$91)</f>
        <v>2371.875</v>
      </c>
      <c r="I249" s="81" t="n">
        <f aca="false">H249*'W Sites'!$J$9/(1+'W Assumptions'!$D$39)*INDEX('W Assumptions'!$D$12:$F$12,1,D249)*INDEX('W Assumptions'!$D$33:$F$33,1,D249)</f>
        <v>142226.90625</v>
      </c>
      <c r="J249" s="81" t="n">
        <f aca="false">H249*'W Sites'!$K$9/(1+'W Assumptions'!$D$39)*INDEX('W Assumptions'!$D$12:$F$12,1,D249)*INDEX('W Assumptions'!$D$33:$F$33,1,D249)</f>
        <v>15316.74375</v>
      </c>
      <c r="K249" s="81" t="n">
        <f aca="false">'W Sites'!$L$9*F249*IF(((YEAR(C249)-YEAR('W Sites'!$F$9))*12+MONTH(C249)-MONTH('W Sites'!$F$9))=0,'W Assumptions'!$D$62,IF(((YEAR(C249)-YEAR('W Sites'!$F$9))*12+MONTH(C249)-MONTH('W Sites'!$F$9))=1,'W Assumptions'!$D$63,1))*INDEX('W Assumptions'!$D$7:$F$7,1,D249)*INDEX('W Assumptions'!$D$32:$F$32,1,D249)</f>
        <v>17820</v>
      </c>
      <c r="L249" s="81" t="n">
        <f aca="false">SUM(I249:K249)</f>
        <v>175363.65</v>
      </c>
      <c r="M249" s="81" t="n">
        <f aca="false">'W Site Costs'!$I$9*F249*INDEX('W Assumptions'!$D$34:$F$34,1,D249)*INDEX('W Assumptions'!$D$22:$F$22,1,D249)</f>
        <v>41630.4</v>
      </c>
      <c r="N249" s="81" t="n">
        <f aca="false">'W Site Costs'!$J$9*F249*INDEX('W Assumptions'!$D$35:$F$35,1,D249)*INDEX('W Assumptions'!$D$22:$F$22,1,D249)</f>
        <v>23795.2</v>
      </c>
      <c r="O249" s="81" t="n">
        <f aca="false">L249*'W Site Costs'!$K$9</f>
        <v>0</v>
      </c>
      <c r="P249" s="81" t="n">
        <f aca="false">SUM('W Site Costs'!$L$9:$Q$9)*F249*INDEX('W Assumptions'!$D$35:$F$35,1,D249)*INDEX('W Assumptions'!$D$22:$F$22,1,D249)</f>
        <v>16764.8</v>
      </c>
      <c r="Q249" s="81" t="n">
        <f aca="false">L249*'W Site Costs'!$R$9*INDEX('W Assumptions'!$D$17:$F$17,1,D249)</f>
        <v>14029.092</v>
      </c>
      <c r="R249" s="112" t="n">
        <f aca="false">L249*'W Sites'!$M$9</f>
        <v>0</v>
      </c>
      <c r="S249" s="81" t="n">
        <f aca="false">SUM(M249:R249)</f>
        <v>96219.492</v>
      </c>
      <c r="T249" s="81" t="n">
        <f aca="false">L249-S249</f>
        <v>79144.158</v>
      </c>
      <c r="U249" s="81" t="n">
        <f aca="false">IF(C249='W Budget &amp; Owners'!$I$9,'W Budget &amp; Owners'!$F$9*'W Sites'!$G$9,0)</f>
        <v>0</v>
      </c>
      <c r="V249" s="81" t="n">
        <f aca="false">'W Sites'!$G$9*'W Budget &amp; Owners'!$E$9*INDEX('W Assumptions'!$D$27:$F$27,1,D249)*(IF(C249='W Budget &amp; Owners'!$I$9,'W Assumptions'!$D$65,0)+IF(C249=DATE(YEAR('W Sites'!$F$9),MONTH('W Sites'!$F$9),1),1-'W Assumptions'!$D$65,0))+'W Sites'!$G$9*'W Budget &amp; Owners'!$E$9*IF(C249=DATE(2027,9,1),'W Assumptions'!$D$67,IF(C249=DATE(2028,9,1),'W Assumptions'!$D$69,0))</f>
        <v>15000</v>
      </c>
      <c r="W249" s="81" t="n">
        <f aca="false">IF(((YEAR(C249)-YEAR('W Sites'!$F$9))*12+MONTH(C249)-MONTH('W Sites'!$F$9))&lt;'W Budget &amp; Owners'!$H$9,'W Budget &amp; Owners'!$E$9/'W Budget &amp; Owners'!$H$9*F249,0)+IF(C249&gt;=DATE(2027,9,1),'W Budget &amp; Owners'!$E$9*'W Assumptions'!$D$67/'W Budget &amp; Owners'!$H$9*F249,0)+IF(C249&gt;=DATE(2028,9,1),'W Budget &amp; Owners'!$E$9*'W Assumptions'!$D$69/'W Budget &amp; Owners'!$H$9*F249,0)</f>
        <v>8750</v>
      </c>
      <c r="X249" s="81" t="n">
        <f aca="false">IF(C249='W Budget &amp; Owners'!$I$9,'W Budget &amp; Owners'!$G$9*'W Sites'!$G$9,0)</f>
        <v>0</v>
      </c>
      <c r="Y249" s="112" t="n">
        <f aca="false">IF(SUM($G$246:$G$255)=0,0,'W Fees &amp; KPI'!$Q$30*G249/SUM($G$246:$G$255))</f>
        <v>3214.27221165507</v>
      </c>
      <c r="Z249" s="119" t="n">
        <f aca="false">IF(SUM($G$246:$G$255)=0,0,SUM('W Fees &amp; KPI'!$J$30,'W Fees &amp; KPI'!$M$30)*G249/SUM($G$246:$G$255))</f>
        <v>5223.75</v>
      </c>
      <c r="AA249" s="117" t="n">
        <f aca="false">T249-U249-Z249-Y249</f>
        <v>70706.1357883449</v>
      </c>
      <c r="AB249" s="119" t="n">
        <f aca="false">IF('W Fees &amp; KPI'!$D$30=0,0,T249-U249-Z249)</f>
        <v>73920.408</v>
      </c>
    </row>
    <row r="250" customFormat="false" ht="21" hidden="false" customHeight="true" outlineLevel="0" collapsed="false">
      <c r="C250" s="144" t="n">
        <f aca="false">46997</f>
        <v>46997</v>
      </c>
      <c r="D250" s="81" t="n">
        <f aca="false">3</f>
        <v>3</v>
      </c>
      <c r="E250" s="81" t="str">
        <f aca="false">'W Sites'!C10</f>
        <v>S05</v>
      </c>
      <c r="F250" s="145" t="n">
        <f aca="false">'W Sites'!$G$10*MAX(0,EOMONTH(C250,0)-MAX(C250,'W Sites'!$F$10)+1)/DAY(EOMONTH(C250,0))</f>
        <v>1</v>
      </c>
      <c r="G250" s="145" t="n">
        <f aca="false">'W Sites'!$G$10*MAX(0,EOMONTH(C250,0)-MAX(C250,'W Sites'!$F$10,'W Assumptions'!$D$58)+1)/DAY(EOMONTH(C250,0))</f>
        <v>1</v>
      </c>
      <c r="H250" s="81" t="n">
        <f aca="false">'W Sites'!$H$10*F250*'W Sites'!$I$10*IF(((YEAR(C250)-YEAR('W Sites'!$F$10))*12+MONTH(C250)-MONTH('W Sites'!$F$10))=0,'W Assumptions'!$D$62,IF(((YEAR(C250)-YEAR('W Sites'!$F$10))*12+MONTH(C250)-MONTH('W Sites'!$F$10))=1,'W Assumptions'!$D$63,1))*INDEX('W Assumptions'!$D$7:$F$7,1,D250)*INDEX('W Assumptions'!$D$32:$F$32,1,D250)*INDEX('W Assumptions'!$D$80:$D$91,MONTH(C250),1)/AVERAGE('W Assumptions'!$D$80:$D$91)</f>
        <v>3031.84109589041</v>
      </c>
      <c r="I250" s="81" t="n">
        <f aca="false">H250*'W Sites'!$J$10/(1+'W Assumptions'!$D$39)*INDEX('W Assumptions'!$D$12:$F$12,1,D250)*INDEX('W Assumptions'!$D$33:$F$33,1,D250)</f>
        <v>181801.055835616</v>
      </c>
      <c r="J250" s="81" t="n">
        <f aca="false">H250*'W Sites'!$K$10/(1+'W Assumptions'!$D$39)*INDEX('W Assumptions'!$D$12:$F$12,1,D250)*INDEX('W Assumptions'!$D$33:$F$33,1,D250)</f>
        <v>22375.5145643836</v>
      </c>
      <c r="K250" s="81" t="n">
        <f aca="false">'W Sites'!$L$10*F250*IF(((YEAR(C250)-YEAR('W Sites'!$F$10))*12+MONTH(C250)-MONTH('W Sites'!$F$10))=0,'W Assumptions'!$D$62,IF(((YEAR(C250)-YEAR('W Sites'!$F$10))*12+MONTH(C250)-MONTH('W Sites'!$F$10))=1,'W Assumptions'!$D$63,1))*INDEX('W Assumptions'!$D$7:$F$7,1,D250)*INDEX('W Assumptions'!$D$32:$F$32,1,D250)</f>
        <v>21384</v>
      </c>
      <c r="L250" s="81" t="n">
        <f aca="false">SUM(I250:K250)</f>
        <v>225560.5704</v>
      </c>
      <c r="M250" s="81" t="n">
        <f aca="false">'W Site Costs'!$I$10*F250*INDEX('W Assumptions'!$D$34:$F$34,1,D250)*INDEX('W Assumptions'!$D$22:$F$22,1,D250)</f>
        <v>52948.665</v>
      </c>
      <c r="N250" s="81" t="n">
        <f aca="false">'W Site Costs'!$J$10*F250*INDEX('W Assumptions'!$D$35:$F$35,1,D250)*INDEX('W Assumptions'!$D$22:$F$22,1,D250)</f>
        <v>32448</v>
      </c>
      <c r="O250" s="81" t="n">
        <f aca="false">L250*'W Site Costs'!$K$10</f>
        <v>0</v>
      </c>
      <c r="P250" s="81" t="n">
        <f aca="false">SUM('W Site Costs'!$L$10:$Q$10)*F250*INDEX('W Assumptions'!$D$35:$F$35,1,D250)*INDEX('W Assumptions'!$D$22:$F$22,1,D250)</f>
        <v>20550.4</v>
      </c>
      <c r="Q250" s="81" t="n">
        <f aca="false">L250*'W Site Costs'!$R$10*INDEX('W Assumptions'!$D$17:$F$17,1,D250)</f>
        <v>18044.845632</v>
      </c>
      <c r="R250" s="112" t="n">
        <f aca="false">L250*'W Sites'!$M$10</f>
        <v>0</v>
      </c>
      <c r="S250" s="81" t="n">
        <f aca="false">SUM(M250:R250)</f>
        <v>123991.910632</v>
      </c>
      <c r="T250" s="81" t="n">
        <f aca="false">L250-S250</f>
        <v>101568.659768</v>
      </c>
      <c r="U250" s="81" t="n">
        <f aca="false">IF(C250='W Budget &amp; Owners'!$I$10,'W Budget &amp; Owners'!$F$10*'W Sites'!$G$10,0)</f>
        <v>0</v>
      </c>
      <c r="V250" s="81" t="n">
        <f aca="false">'W Sites'!$G$10*'W Budget &amp; Owners'!$E$10*INDEX('W Assumptions'!$D$27:$F$27,1,D250)*(IF(C250='W Budget &amp; Owners'!$I$10,'W Assumptions'!$D$65,0)+IF(C250=DATE(YEAR('W Sites'!$F$10),MONTH('W Sites'!$F$10),1),1-'W Assumptions'!$D$65,0))+'W Sites'!$G$10*'W Budget &amp; Owners'!$E$10*IF(C250=DATE(2027,9,1),'W Assumptions'!$D$67,IF(C250=DATE(2028,9,1),'W Assumptions'!$D$69,0))</f>
        <v>22500</v>
      </c>
      <c r="W250" s="81" t="n">
        <f aca="false">IF(((YEAR(C250)-YEAR('W Sites'!$F$10))*12+MONTH(C250)-MONTH('W Sites'!$F$10))&lt;'W Budget &amp; Owners'!$H$10,'W Budget &amp; Owners'!$E$10/'W Budget &amp; Owners'!$H$10*F250,0)+IF(C250&gt;=DATE(2027,9,1),'W Budget &amp; Owners'!$E$10*'W Assumptions'!$D$67/'W Budget &amp; Owners'!$H$10*F250,0)+IF(C250&gt;=DATE(2028,9,1),'W Budget &amp; Owners'!$E$10*'W Assumptions'!$D$69/'W Budget &amp; Owners'!$H$10*F250,0)</f>
        <v>13125</v>
      </c>
      <c r="X250" s="81" t="n">
        <f aca="false">IF(C250='W Budget &amp; Owners'!$I$10,'W Budget &amp; Owners'!$G$10*'W Sites'!$G$10,0)</f>
        <v>0</v>
      </c>
      <c r="Y250" s="112" t="n">
        <f aca="false">IF(SUM($G$246:$G$255)=0,0,'W Fees &amp; KPI'!$Q$30*G250/SUM($G$246:$G$255))</f>
        <v>3214.27221165507</v>
      </c>
      <c r="Z250" s="119" t="n">
        <f aca="false">IF(SUM($G$246:$G$255)=0,0,SUM('W Fees &amp; KPI'!$J$30,'W Fees &amp; KPI'!$M$30)*G250/SUM($G$246:$G$255))</f>
        <v>5223.75</v>
      </c>
      <c r="AA250" s="117" t="n">
        <f aca="false">T250-U250-Z250-Y250</f>
        <v>93130.6375563449</v>
      </c>
      <c r="AB250" s="119" t="n">
        <f aca="false">IF('W Fees &amp; KPI'!$D$30=0,0,T250-U250-Z250)</f>
        <v>96344.909768</v>
      </c>
    </row>
    <row r="251" customFormat="false" ht="21" hidden="false" customHeight="true" outlineLevel="0" collapsed="false">
      <c r="C251" s="144" t="n">
        <f aca="false">46997</f>
        <v>46997</v>
      </c>
      <c r="D251" s="81" t="n">
        <f aca="false">3</f>
        <v>3</v>
      </c>
      <c r="E251" s="81" t="str">
        <f aca="false">'W Sites'!C11</f>
        <v>S06</v>
      </c>
      <c r="F251" s="145" t="n">
        <f aca="false">'W Sites'!$G$11*MAX(0,EOMONTH(C251,0)-MAX(C251,'W Sites'!$F$11)+1)/DAY(EOMONTH(C251,0))</f>
        <v>1</v>
      </c>
      <c r="G251" s="145" t="n">
        <f aca="false">'W Sites'!$G$11*MAX(0,EOMONTH(C251,0)-MAX(C251,'W Sites'!$F$11,'W Assumptions'!$D$58)+1)/DAY(EOMONTH(C251,0))</f>
        <v>1</v>
      </c>
      <c r="H251" s="81" t="n">
        <f aca="false">'W Sites'!$H$11*F251*'W Sites'!$I$11*IF(((YEAR(C251)-YEAR('W Sites'!$F$11))*12+MONTH(C251)-MONTH('W Sites'!$F$11))=0,'W Assumptions'!$D$62,IF(((YEAR(C251)-YEAR('W Sites'!$F$11))*12+MONTH(C251)-MONTH('W Sites'!$F$11))=1,'W Assumptions'!$D$63,1))*INDEX('W Assumptions'!$D$7:$F$7,1,D251)*INDEX('W Assumptions'!$D$32:$F$32,1,D251)*INDEX('W Assumptions'!$D$80:$D$91,MONTH(C251),1)/AVERAGE('W Assumptions'!$D$80:$D$91)</f>
        <v>926.64</v>
      </c>
      <c r="I251" s="81" t="n">
        <f aca="false">H251*'W Sites'!$J$11/(1+'W Assumptions'!$D$39)*INDEX('W Assumptions'!$D$12:$F$12,1,D251)*INDEX('W Assumptions'!$D$33:$F$33,1,D251)</f>
        <v>51290.7326608696</v>
      </c>
      <c r="J251" s="81" t="n">
        <f aca="false">H251*'W Sites'!$K$11/(1+'W Assumptions'!$D$39)*INDEX('W Assumptions'!$D$12:$F$12,1,D251)*INDEX('W Assumptions'!$D$33:$F$33,1,D251)</f>
        <v>2564.53663304348</v>
      </c>
      <c r="K251" s="81" t="n">
        <f aca="false">'W Sites'!$L$11*F251*IF(((YEAR(C251)-YEAR('W Sites'!$F$11))*12+MONTH(C251)-MONTH('W Sites'!$F$11))=0,'W Assumptions'!$D$62,IF(((YEAR(C251)-YEAR('W Sites'!$F$11))*12+MONTH(C251)-MONTH('W Sites'!$F$11))=1,'W Assumptions'!$D$63,1))*INDEX('W Assumptions'!$D$7:$F$7,1,D251)*INDEX('W Assumptions'!$D$32:$F$32,1,D251)</f>
        <v>23760</v>
      </c>
      <c r="L251" s="81" t="n">
        <f aca="false">SUM(I251:K251)</f>
        <v>77615.2692939131</v>
      </c>
      <c r="M251" s="81" t="n">
        <f aca="false">'W Site Costs'!$I$11*F251*INDEX('W Assumptions'!$D$34:$F$34,1,D251)*INDEX('W Assumptions'!$D$22:$F$22,1,D251)</f>
        <v>26279.19</v>
      </c>
      <c r="N251" s="81" t="n">
        <f aca="false">'W Site Costs'!$J$11*F251*INDEX('W Assumptions'!$D$35:$F$35,1,D251)*INDEX('W Assumptions'!$D$22:$F$22,1,D251)</f>
        <v>5408</v>
      </c>
      <c r="O251" s="81" t="n">
        <f aca="false">L251*'W Site Costs'!$K$11</f>
        <v>0</v>
      </c>
      <c r="P251" s="81" t="n">
        <f aca="false">SUM('W Site Costs'!$L$11:$Q$11)*F251*INDEX('W Assumptions'!$D$35:$F$35,1,D251)*INDEX('W Assumptions'!$D$22:$F$22,1,D251)</f>
        <v>8652.8</v>
      </c>
      <c r="Q251" s="81" t="n">
        <f aca="false">L251*'W Site Costs'!$R$11*INDEX('W Assumptions'!$D$17:$F$17,1,D251)</f>
        <v>7761.52692939131</v>
      </c>
      <c r="R251" s="112" t="n">
        <f aca="false">L251*'W Sites'!$M$11</f>
        <v>0</v>
      </c>
      <c r="S251" s="81" t="n">
        <f aca="false">SUM(M251:R251)</f>
        <v>48101.5169293913</v>
      </c>
      <c r="T251" s="81" t="n">
        <f aca="false">L251-S251</f>
        <v>29513.7523645217</v>
      </c>
      <c r="U251" s="81" t="n">
        <f aca="false">IF(C251='W Budget &amp; Owners'!$I$11,'W Budget &amp; Owners'!$F$11*'W Sites'!$G$11,0)</f>
        <v>0</v>
      </c>
      <c r="V251" s="81" t="n">
        <f aca="false">'W Sites'!$G$11*'W Budget &amp; Owners'!$E$11*INDEX('W Assumptions'!$D$27:$F$27,1,D251)*(IF(C251='W Budget &amp; Owners'!$I$11,'W Assumptions'!$D$65,0)+IF(C251=DATE(YEAR('W Sites'!$F$11),MONTH('W Sites'!$F$11),1),1-'W Assumptions'!$D$65,0))+'W Sites'!$G$11*'W Budget &amp; Owners'!$E$11*IF(C251=DATE(2027,9,1),'W Assumptions'!$D$67,IF(C251=DATE(2028,9,1),'W Assumptions'!$D$69,0))</f>
        <v>4500</v>
      </c>
      <c r="W251" s="81" t="n">
        <f aca="false">IF(((YEAR(C251)-YEAR('W Sites'!$F$11))*12+MONTH(C251)-MONTH('W Sites'!$F$11))&lt;'W Budget &amp; Owners'!$H$11,'W Budget &amp; Owners'!$E$11/'W Budget &amp; Owners'!$H$11*F251,0)+IF(C251&gt;=DATE(2027,9,1),'W Budget &amp; Owners'!$E$11*'W Assumptions'!$D$67/'W Budget &amp; Owners'!$H$11*F251,0)+IF(C251&gt;=DATE(2028,9,1),'W Budget &amp; Owners'!$E$11*'W Assumptions'!$D$69/'W Budget &amp; Owners'!$H$11*F251,0)</f>
        <v>2625</v>
      </c>
      <c r="X251" s="81" t="n">
        <f aca="false">IF(C251='W Budget &amp; Owners'!$I$11,'W Budget &amp; Owners'!$G$11*'W Sites'!$G$11,0)</f>
        <v>0</v>
      </c>
      <c r="Y251" s="112" t="n">
        <f aca="false">IF(SUM($G$246:$G$255)=0,0,'W Fees &amp; KPI'!$Q$30*G251/SUM($G$246:$G$255))</f>
        <v>3214.27221165507</v>
      </c>
      <c r="Z251" s="119" t="n">
        <f aca="false">IF(SUM($G$246:$G$255)=0,0,SUM('W Fees &amp; KPI'!$J$30,'W Fees &amp; KPI'!$M$30)*G251/SUM($G$246:$G$255))</f>
        <v>5223.75</v>
      </c>
      <c r="AA251" s="117" t="n">
        <f aca="false">T251-U251-Z251-Y251</f>
        <v>21075.7301528667</v>
      </c>
      <c r="AB251" s="119" t="n">
        <f aca="false">IF('W Fees &amp; KPI'!$D$30=0,0,T251-U251-Z251)</f>
        <v>24290.0023645217</v>
      </c>
    </row>
    <row r="252" customFormat="false" ht="21" hidden="false" customHeight="true" outlineLevel="0" collapsed="false">
      <c r="C252" s="144" t="n">
        <f aca="false">46997</f>
        <v>46997</v>
      </c>
      <c r="D252" s="81" t="n">
        <f aca="false">3</f>
        <v>3</v>
      </c>
      <c r="E252" s="81" t="str">
        <f aca="false">'W Sites'!C12</f>
        <v>S07</v>
      </c>
      <c r="F252" s="145" t="n">
        <f aca="false">'W Sites'!$G$12*MAX(0,EOMONTH(C252,0)-MAX(C252,'W Sites'!$F$12)+1)/DAY(EOMONTH(C252,0))</f>
        <v>1</v>
      </c>
      <c r="G252" s="145" t="n">
        <f aca="false">'W Sites'!$G$12*MAX(0,EOMONTH(C252,0)-MAX(C252,'W Sites'!$F$12,'W Assumptions'!$D$58)+1)/DAY(EOMONTH(C252,0))</f>
        <v>1</v>
      </c>
      <c r="H252" s="81" t="n">
        <f aca="false">'W Sites'!$H$12*F252*'W Sites'!$I$12*IF(((YEAR(C252)-YEAR('W Sites'!$F$12))*12+MONTH(C252)-MONTH('W Sites'!$F$12))=0,'W Assumptions'!$D$62,IF(((YEAR(C252)-YEAR('W Sites'!$F$12))*12+MONTH(C252)-MONTH('W Sites'!$F$12))=1,'W Assumptions'!$D$63,1))*INDEX('W Assumptions'!$D$7:$F$7,1,D252)*INDEX('W Assumptions'!$D$32:$F$32,1,D252)*INDEX('W Assumptions'!$D$80:$D$91,MONTH(C252),1)/AVERAGE('W Assumptions'!$D$80:$D$91)</f>
        <v>1081.08</v>
      </c>
      <c r="I252" s="81" t="n">
        <f aca="false">H252*'W Sites'!$J$12/(1+'W Assumptions'!$D$39)*INDEX('W Assumptions'!$D$12:$F$12,1,D252)*INDEX('W Assumptions'!$D$33:$F$33,1,D252)</f>
        <v>59839.1881043478</v>
      </c>
      <c r="J252" s="81" t="n">
        <f aca="false">H252*'W Sites'!$K$12/(1+'W Assumptions'!$D$39)*INDEX('W Assumptions'!$D$12:$F$12,1,D252)*INDEX('W Assumptions'!$D$33:$F$33,1,D252)</f>
        <v>2991.95940521739</v>
      </c>
      <c r="K252" s="81" t="n">
        <f aca="false">'W Sites'!$L$12*F252*IF(((YEAR(C252)-YEAR('W Sites'!$F$12))*12+MONTH(C252)-MONTH('W Sites'!$F$12))=0,'W Assumptions'!$D$62,IF(((YEAR(C252)-YEAR('W Sites'!$F$12))*12+MONTH(C252)-MONTH('W Sites'!$F$12))=1,'W Assumptions'!$D$63,1))*INDEX('W Assumptions'!$D$7:$F$7,1,D252)*INDEX('W Assumptions'!$D$32:$F$32,1,D252)</f>
        <v>21384</v>
      </c>
      <c r="L252" s="81" t="n">
        <f aca="false">SUM(I252:K252)</f>
        <v>84215.1475095652</v>
      </c>
      <c r="M252" s="81" t="n">
        <f aca="false">'W Site Costs'!$I$12*F252*INDEX('W Assumptions'!$D$34:$F$34,1,D252)*INDEX('W Assumptions'!$D$22:$F$22,1,D252)</f>
        <v>26279.19</v>
      </c>
      <c r="N252" s="81" t="n">
        <f aca="false">'W Site Costs'!$J$12*F252*INDEX('W Assumptions'!$D$35:$F$35,1,D252)*INDEX('W Assumptions'!$D$22:$F$22,1,D252)</f>
        <v>8652.8</v>
      </c>
      <c r="O252" s="81" t="n">
        <f aca="false">L252*'W Site Costs'!$K$12</f>
        <v>0</v>
      </c>
      <c r="P252" s="81" t="n">
        <f aca="false">SUM('W Site Costs'!$L$12:$Q$12)*F252*INDEX('W Assumptions'!$D$35:$F$35,1,D252)*INDEX('W Assumptions'!$D$22:$F$22,1,D252)</f>
        <v>9193.6</v>
      </c>
      <c r="Q252" s="81" t="n">
        <f aca="false">L252*'W Site Costs'!$R$12*INDEX('W Assumptions'!$D$17:$F$17,1,D252)</f>
        <v>8421.51475095652</v>
      </c>
      <c r="R252" s="112" t="n">
        <f aca="false">L252*'W Sites'!$M$12</f>
        <v>0</v>
      </c>
      <c r="S252" s="81" t="n">
        <f aca="false">SUM(M252:R252)</f>
        <v>52547.1047509565</v>
      </c>
      <c r="T252" s="81" t="n">
        <f aca="false">L252-S252</f>
        <v>31668.0427586087</v>
      </c>
      <c r="U252" s="81" t="n">
        <f aca="false">IF(C252='W Budget &amp; Owners'!$I$12,'W Budget &amp; Owners'!$F$12*'W Sites'!$G$12,0)</f>
        <v>0</v>
      </c>
      <c r="V252" s="81" t="n">
        <f aca="false">'W Sites'!$G$12*'W Budget &amp; Owners'!$E$12*INDEX('W Assumptions'!$D$27:$F$27,1,D252)*(IF(C252='W Budget &amp; Owners'!$I$12,'W Assumptions'!$D$65,0)+IF(C252=DATE(YEAR('W Sites'!$F$12),MONTH('W Sites'!$F$12),1),1-'W Assumptions'!$D$65,0))+'W Sites'!$G$12*'W Budget &amp; Owners'!$E$12*IF(C252=DATE(2027,9,1),'W Assumptions'!$D$67,IF(C252=DATE(2028,9,1),'W Assumptions'!$D$69,0))</f>
        <v>13500</v>
      </c>
      <c r="W252" s="81" t="n">
        <f aca="false">IF(((YEAR(C252)-YEAR('W Sites'!$F$12))*12+MONTH(C252)-MONTH('W Sites'!$F$12))&lt;'W Budget &amp; Owners'!$H$12,'W Budget &amp; Owners'!$E$12/'W Budget &amp; Owners'!$H$12*F252,0)+IF(C252&gt;=DATE(2027,9,1),'W Budget &amp; Owners'!$E$12*'W Assumptions'!$D$67/'W Budget &amp; Owners'!$H$12*F252,0)+IF(C252&gt;=DATE(2028,9,1),'W Budget &amp; Owners'!$E$12*'W Assumptions'!$D$69/'W Budget &amp; Owners'!$H$12*F252,0)</f>
        <v>7875</v>
      </c>
      <c r="X252" s="81" t="n">
        <f aca="false">IF(C252='W Budget &amp; Owners'!$I$12,'W Budget &amp; Owners'!$G$12*'W Sites'!$G$12,0)</f>
        <v>0</v>
      </c>
      <c r="Y252" s="112" t="n">
        <f aca="false">IF(SUM($G$246:$G$255)=0,0,'W Fees &amp; KPI'!$Q$30*G252/SUM($G$246:$G$255))</f>
        <v>3214.27221165507</v>
      </c>
      <c r="Z252" s="119" t="n">
        <f aca="false">IF(SUM($G$246:$G$255)=0,0,SUM('W Fees &amp; KPI'!$J$30,'W Fees &amp; KPI'!$M$30)*G252/SUM($G$246:$G$255))</f>
        <v>5223.75</v>
      </c>
      <c r="AA252" s="117" t="n">
        <f aca="false">T252-U252-Z252-Y252</f>
        <v>23230.0205469536</v>
      </c>
      <c r="AB252" s="119" t="n">
        <f aca="false">IF('W Fees &amp; KPI'!$D$30=0,0,T252-U252-Z252)</f>
        <v>26444.2927586087</v>
      </c>
    </row>
    <row r="253" customFormat="false" ht="21" hidden="false" customHeight="true" outlineLevel="0" collapsed="false">
      <c r="C253" s="144" t="n">
        <f aca="false">46997</f>
        <v>46997</v>
      </c>
      <c r="D253" s="81" t="n">
        <f aca="false">3</f>
        <v>3</v>
      </c>
      <c r="E253" s="81" t="str">
        <f aca="false">'W Sites'!C13</f>
        <v>S08</v>
      </c>
      <c r="F253" s="145" t="n">
        <f aca="false">'W Sites'!$G$13*MAX(0,EOMONTH(C253,0)-MAX(C253,'W Sites'!$F$13)+1)/DAY(EOMONTH(C253,0))</f>
        <v>1</v>
      </c>
      <c r="G253" s="145" t="n">
        <f aca="false">'W Sites'!$G$13*MAX(0,EOMONTH(C253,0)-MAX(C253,'W Sites'!$F$13,'W Assumptions'!$D$58)+1)/DAY(EOMONTH(C253,0))</f>
        <v>1</v>
      </c>
      <c r="H253" s="81" t="n">
        <f aca="false">'W Sites'!$H$13*F253*'W Sites'!$I$13*IF(((YEAR(C253)-YEAR('W Sites'!$F$13))*12+MONTH(C253)-MONTH('W Sites'!$F$13))=0,'W Assumptions'!$D$62,IF(((YEAR(C253)-YEAR('W Sites'!$F$13))*12+MONTH(C253)-MONTH('W Sites'!$F$13))=1,'W Assumptions'!$D$63,1))*INDEX('W Assumptions'!$D$7:$F$7,1,D253)*INDEX('W Assumptions'!$D$32:$F$32,1,D253)*INDEX('W Assumptions'!$D$80:$D$91,MONTH(C253),1)/AVERAGE('W Assumptions'!$D$80:$D$91)</f>
        <v>4633.2</v>
      </c>
      <c r="I253" s="81" t="n">
        <f aca="false">H253*'W Sites'!$J$13/(1+'W Assumptions'!$D$39)*INDEX('W Assumptions'!$D$12:$F$12,1,D253)*INDEX('W Assumptions'!$D$33:$F$33,1,D253)</f>
        <v>170969.108869565</v>
      </c>
      <c r="J253" s="81" t="n">
        <f aca="false">H253*'W Sites'!$K$13/(1+'W Assumptions'!$D$39)*INDEX('W Assumptions'!$D$12:$F$12,1,D253)*INDEX('W Assumptions'!$D$33:$F$33,1,D253)</f>
        <v>21371.1386086957</v>
      </c>
      <c r="K253" s="81" t="n">
        <f aca="false">'W Sites'!$L$13*F253*IF(((YEAR(C253)-YEAR('W Sites'!$F$13))*12+MONTH(C253)-MONTH('W Sites'!$F$13))=0,'W Assumptions'!$D$62,IF(((YEAR(C253)-YEAR('W Sites'!$F$13))*12+MONTH(C253)-MONTH('W Sites'!$F$13))=1,'W Assumptions'!$D$63,1))*INDEX('W Assumptions'!$D$7:$F$7,1,D253)*INDEX('W Assumptions'!$D$32:$F$32,1,D253)</f>
        <v>17820</v>
      </c>
      <c r="L253" s="81" t="n">
        <f aca="false">SUM(I253:K253)</f>
        <v>210160.247478261</v>
      </c>
      <c r="M253" s="81" t="n">
        <f aca="false">'W Site Costs'!$I$13*F253*INDEX('W Assumptions'!$D$34:$F$34,1,D253)*INDEX('W Assumptions'!$D$22:$F$22,1,D253)</f>
        <v>58802.94</v>
      </c>
      <c r="N253" s="81" t="n">
        <f aca="false">'W Site Costs'!$J$13*F253*INDEX('W Assumptions'!$D$35:$F$35,1,D253)*INDEX('W Assumptions'!$D$22:$F$22,1,D253)</f>
        <v>0</v>
      </c>
      <c r="O253" s="81" t="n">
        <f aca="false">L253*'W Site Costs'!$K$13</f>
        <v>21016.0247478261</v>
      </c>
      <c r="P253" s="81" t="n">
        <f aca="false">SUM('W Site Costs'!$L$13:$Q$13)*F253*INDEX('W Assumptions'!$D$35:$F$35,1,D253)*INDEX('W Assumptions'!$D$22:$F$22,1,D253)</f>
        <v>27580.8</v>
      </c>
      <c r="Q253" s="81" t="n">
        <f aca="false">L253*'W Site Costs'!$R$13*INDEX('W Assumptions'!$D$17:$F$17,1,D253)</f>
        <v>16812.8197982609</v>
      </c>
      <c r="R253" s="112" t="n">
        <f aca="false">L253*'W Sites'!$M$13</f>
        <v>0</v>
      </c>
      <c r="S253" s="81" t="n">
        <f aca="false">SUM(M253:R253)</f>
        <v>124212.584546087</v>
      </c>
      <c r="T253" s="81" t="n">
        <f aca="false">L253-S253</f>
        <v>85947.6629321739</v>
      </c>
      <c r="U253" s="81" t="n">
        <f aca="false">IF(C253='W Budget &amp; Owners'!$I$13,'W Budget &amp; Owners'!$F$13*'W Sites'!$G$13,0)</f>
        <v>0</v>
      </c>
      <c r="V253" s="81" t="n">
        <f aca="false">'W Sites'!$G$13*'W Budget &amp; Owners'!$E$13*INDEX('W Assumptions'!$D$27:$F$27,1,D253)*(IF(C253='W Budget &amp; Owners'!$I$13,'W Assumptions'!$D$65,0)+IF(C253=DATE(YEAR('W Sites'!$F$13),MONTH('W Sites'!$F$13),1),1-'W Assumptions'!$D$65,0))+'W Sites'!$G$13*'W Budget &amp; Owners'!$E$13*IF(C253=DATE(2027,9,1),'W Assumptions'!$D$67,IF(C253=DATE(2028,9,1),'W Assumptions'!$D$69,0))</f>
        <v>36000</v>
      </c>
      <c r="W253" s="81" t="n">
        <f aca="false">IF(((YEAR(C253)-YEAR('W Sites'!$F$13))*12+MONTH(C253)-MONTH('W Sites'!$F$13))&lt;'W Budget &amp; Owners'!$H$13,'W Budget &amp; Owners'!$E$13/'W Budget &amp; Owners'!$H$13*F253,0)+IF(C253&gt;=DATE(2027,9,1),'W Budget &amp; Owners'!$E$13*'W Assumptions'!$D$67/'W Budget &amp; Owners'!$H$13*F253,0)+IF(C253&gt;=DATE(2028,9,1),'W Budget &amp; Owners'!$E$13*'W Assumptions'!$D$69/'W Budget &amp; Owners'!$H$13*F253,0)</f>
        <v>21000</v>
      </c>
      <c r="X253" s="81" t="n">
        <f aca="false">IF(C253='W Budget &amp; Owners'!$I$13,'W Budget &amp; Owners'!$G$13*'W Sites'!$G$13,0)</f>
        <v>0</v>
      </c>
      <c r="Y253" s="112" t="n">
        <f aca="false">IF(SUM($G$246:$G$255)=0,0,'W Fees &amp; KPI'!$Q$30*G253/SUM($G$246:$G$255))</f>
        <v>3214.27221165507</v>
      </c>
      <c r="Z253" s="119" t="n">
        <f aca="false">IF(SUM($G$246:$G$255)=0,0,SUM('W Fees &amp; KPI'!$J$30,'W Fees &amp; KPI'!$M$30)*G253/SUM($G$246:$G$255))</f>
        <v>5223.75</v>
      </c>
      <c r="AA253" s="117" t="n">
        <f aca="false">T253-U253-Z253-Y253</f>
        <v>77509.6407205189</v>
      </c>
      <c r="AB253" s="119" t="n">
        <f aca="false">IF('W Fees &amp; KPI'!$D$30=0,0,T253-U253-Z253)</f>
        <v>80723.9129321739</v>
      </c>
    </row>
    <row r="254" customFormat="false" ht="21" hidden="false" customHeight="true" outlineLevel="0" collapsed="false">
      <c r="C254" s="144" t="n">
        <f aca="false">46997</f>
        <v>46997</v>
      </c>
      <c r="D254" s="81" t="n">
        <f aca="false">3</f>
        <v>3</v>
      </c>
      <c r="E254" s="81" t="str">
        <f aca="false">'W Sites'!C14</f>
        <v>S09</v>
      </c>
      <c r="F254" s="145" t="n">
        <f aca="false">'W Sites'!$G$14*MAX(0,EOMONTH(C254,0)-MAX(C254,'W Sites'!$F$14)+1)/DAY(EOMONTH(C254,0))</f>
        <v>0</v>
      </c>
      <c r="G254" s="145" t="n">
        <f aca="false">'W Sites'!$G$14*MAX(0,EOMONTH(C254,0)-MAX(C254,'W Sites'!$F$14,'W Assumptions'!$D$58)+1)/DAY(EOMONTH(C254,0))</f>
        <v>0</v>
      </c>
      <c r="H254" s="81" t="n">
        <f aca="false">'W Sites'!$H$14*F254*'W Sites'!$I$14*IF(((YEAR(C254)-YEAR('W Sites'!$F$14))*12+MONTH(C254)-MONTH('W Sites'!$F$14))=0,'W Assumptions'!$D$62,IF(((YEAR(C254)-YEAR('W Sites'!$F$14))*12+MONTH(C254)-MONTH('W Sites'!$F$14))=1,'W Assumptions'!$D$63,1))*INDEX('W Assumptions'!$D$7:$F$7,1,D254)*INDEX('W Assumptions'!$D$32:$F$32,1,D254)*INDEX('W Assumptions'!$D$80:$D$91,MONTH(C254),1)/AVERAGE('W Assumptions'!$D$80:$D$91)</f>
        <v>0</v>
      </c>
      <c r="I254" s="81" t="n">
        <f aca="false">H254*'W Sites'!$J$14/(1+'W Assumptions'!$D$39)*INDEX('W Assumptions'!$D$12:$F$12,1,D254)*INDEX('W Assumptions'!$D$33:$F$33,1,D254)</f>
        <v>0</v>
      </c>
      <c r="J254" s="81" t="n">
        <f aca="false">H254*'W Sites'!$K$14/(1+'W Assumptions'!$D$39)*INDEX('W Assumptions'!$D$12:$F$12,1,D254)*INDEX('W Assumptions'!$D$33:$F$33,1,D254)</f>
        <v>0</v>
      </c>
      <c r="K254" s="81" t="n">
        <f aca="false">'W Sites'!$L$14*F254*IF(((YEAR(C254)-YEAR('W Sites'!$F$14))*12+MONTH(C254)-MONTH('W Sites'!$F$14))=0,'W Assumptions'!$D$62,IF(((YEAR(C254)-YEAR('W Sites'!$F$14))*12+MONTH(C254)-MONTH('W Sites'!$F$14))=1,'W Assumptions'!$D$63,1))*INDEX('W Assumptions'!$D$7:$F$7,1,D254)*INDEX('W Assumptions'!$D$32:$F$32,1,D254)</f>
        <v>0</v>
      </c>
      <c r="L254" s="81" t="n">
        <f aca="false">SUM(I254:K254)</f>
        <v>0</v>
      </c>
      <c r="M254" s="81" t="n">
        <f aca="false">'W Site Costs'!$I$14*F254*INDEX('W Assumptions'!$D$34:$F$34,1,D254)*INDEX('W Assumptions'!$D$22:$F$22,1,D254)</f>
        <v>0</v>
      </c>
      <c r="N254" s="81" t="n">
        <f aca="false">'W Site Costs'!$J$14*F254*INDEX('W Assumptions'!$D$35:$F$35,1,D254)*INDEX('W Assumptions'!$D$22:$F$22,1,D254)</f>
        <v>0</v>
      </c>
      <c r="O254" s="81" t="n">
        <f aca="false">L254*'W Site Costs'!$K$14</f>
        <v>0</v>
      </c>
      <c r="P254" s="81" t="n">
        <f aca="false">SUM('W Site Costs'!$L$14:$Q$14)*F254*INDEX('W Assumptions'!$D$35:$F$35,1,D254)*INDEX('W Assumptions'!$D$22:$F$22,1,D254)</f>
        <v>0</v>
      </c>
      <c r="Q254" s="81" t="n">
        <f aca="false">L254*'W Site Costs'!$R$14*INDEX('W Assumptions'!$D$17:$F$17,1,D254)</f>
        <v>0</v>
      </c>
      <c r="R254" s="112" t="n">
        <f aca="false">L254*'W Sites'!$M$14</f>
        <v>0</v>
      </c>
      <c r="S254" s="81" t="n">
        <f aca="false">SUM(M254:R254)</f>
        <v>0</v>
      </c>
      <c r="T254" s="81" t="n">
        <f aca="false">L254-S254</f>
        <v>0</v>
      </c>
      <c r="U254" s="81" t="n">
        <f aca="false">IF(C254='W Budget &amp; Owners'!$I$14,'W Budget &amp; Owners'!$F$14*'W Sites'!$G$14,0)</f>
        <v>0</v>
      </c>
      <c r="V254" s="81" t="n">
        <f aca="false">'W Sites'!$G$14*'W Budget &amp; Owners'!$E$14*INDEX('W Assumptions'!$D$27:$F$27,1,D254)*(IF(C254='W Budget &amp; Owners'!$I$14,'W Assumptions'!$D$65,0)+IF(C254=DATE(YEAR('W Sites'!$F$14),MONTH('W Sites'!$F$14),1),1-'W Assumptions'!$D$65,0))+'W Sites'!$G$14*'W Budget &amp; Owners'!$E$14*IF(C254=DATE(2027,9,1),'W Assumptions'!$D$67,IF(C254=DATE(2028,9,1),'W Assumptions'!$D$69,0))</f>
        <v>0</v>
      </c>
      <c r="W254" s="81" t="n">
        <f aca="false">IF(((YEAR(C254)-YEAR('W Sites'!$F$14))*12+MONTH(C254)-MONTH('W Sites'!$F$14))&lt;'W Budget &amp; Owners'!$H$14,'W Budget &amp; Owners'!$E$14/'W Budget &amp; Owners'!$H$14*F254,0)+IF(C254&gt;=DATE(2027,9,1),'W Budget &amp; Owners'!$E$14*'W Assumptions'!$D$67/'W Budget &amp; Owners'!$H$14*F254,0)+IF(C254&gt;=DATE(2028,9,1),'W Budget &amp; Owners'!$E$14*'W Assumptions'!$D$69/'W Budget &amp; Owners'!$H$14*F254,0)</f>
        <v>0</v>
      </c>
      <c r="X254" s="81" t="n">
        <f aca="false">IF(C254='W Budget &amp; Owners'!$I$14,'W Budget &amp; Owners'!$G$14*'W Sites'!$G$14,0)</f>
        <v>0</v>
      </c>
      <c r="Y254" s="112" t="n">
        <f aca="false">IF(SUM($G$246:$G$255)=0,0,'W Fees &amp; KPI'!$Q$30*G254/SUM($G$246:$G$255))</f>
        <v>0</v>
      </c>
      <c r="Z254" s="119" t="n">
        <f aca="false">IF(SUM($G$246:$G$255)=0,0,SUM('W Fees &amp; KPI'!$J$30,'W Fees &amp; KPI'!$M$30)*G254/SUM($G$246:$G$255))</f>
        <v>0</v>
      </c>
      <c r="AA254" s="117" t="n">
        <f aca="false">T254-U254-Z254-Y254</f>
        <v>0</v>
      </c>
      <c r="AB254" s="119" t="n">
        <f aca="false">IF('W Fees &amp; KPI'!$D$30=0,0,T254-U254-Z254)</f>
        <v>0</v>
      </c>
    </row>
    <row r="255" customFormat="false" ht="21" hidden="false" customHeight="true" outlineLevel="0" collapsed="false">
      <c r="C255" s="144" t="n">
        <f aca="false">46997</f>
        <v>46997</v>
      </c>
      <c r="D255" s="81" t="n">
        <f aca="false">3</f>
        <v>3</v>
      </c>
      <c r="E255" s="81" t="str">
        <f aca="false">'W Sites'!C15</f>
        <v>S10</v>
      </c>
      <c r="F255" s="145" t="n">
        <f aca="false">'W Sites'!$G$15*MAX(0,EOMONTH(C255,0)-MAX(C255,'W Sites'!$F$15)+1)/DAY(EOMONTH(C255,0))</f>
        <v>0</v>
      </c>
      <c r="G255" s="145" t="n">
        <f aca="false">'W Sites'!$G$15*MAX(0,EOMONTH(C255,0)-MAX(C255,'W Sites'!$F$15,'W Assumptions'!$D$58)+1)/DAY(EOMONTH(C255,0))</f>
        <v>0</v>
      </c>
      <c r="H255" s="81" t="n">
        <f aca="false">'W Sites'!$H$15*F255*'W Sites'!$I$15*IF(((YEAR(C255)-YEAR('W Sites'!$F$15))*12+MONTH(C255)-MONTH('W Sites'!$F$15))=0,'W Assumptions'!$D$62,IF(((YEAR(C255)-YEAR('W Sites'!$F$15))*12+MONTH(C255)-MONTH('W Sites'!$F$15))=1,'W Assumptions'!$D$63,1))*INDEX('W Assumptions'!$D$7:$F$7,1,D255)*INDEX('W Assumptions'!$D$32:$F$32,1,D255)*INDEX('W Assumptions'!$D$80:$D$91,MONTH(C255),1)/AVERAGE('W Assumptions'!$D$80:$D$91)</f>
        <v>0</v>
      </c>
      <c r="I255" s="81" t="n">
        <f aca="false">H255*'W Sites'!$J$15/(1+'W Assumptions'!$D$39)*INDEX('W Assumptions'!$D$12:$F$12,1,D255)*INDEX('W Assumptions'!$D$33:$F$33,1,D255)</f>
        <v>0</v>
      </c>
      <c r="J255" s="81" t="n">
        <f aca="false">H255*'W Sites'!$K$15/(1+'W Assumptions'!$D$39)*INDEX('W Assumptions'!$D$12:$F$12,1,D255)*INDEX('W Assumptions'!$D$33:$F$33,1,D255)</f>
        <v>0</v>
      </c>
      <c r="K255" s="81" t="n">
        <f aca="false">'W Sites'!$L$15*F255*IF(((YEAR(C255)-YEAR('W Sites'!$F$15))*12+MONTH(C255)-MONTH('W Sites'!$F$15))=0,'W Assumptions'!$D$62,IF(((YEAR(C255)-YEAR('W Sites'!$F$15))*12+MONTH(C255)-MONTH('W Sites'!$F$15))=1,'W Assumptions'!$D$63,1))*INDEX('W Assumptions'!$D$7:$F$7,1,D255)*INDEX('W Assumptions'!$D$32:$F$32,1,D255)</f>
        <v>0</v>
      </c>
      <c r="L255" s="81" t="n">
        <f aca="false">SUM(I255:K255)</f>
        <v>0</v>
      </c>
      <c r="M255" s="81" t="n">
        <f aca="false">'W Site Costs'!$I$15*F255*INDEX('W Assumptions'!$D$34:$F$34,1,D255)*INDEX('W Assumptions'!$D$22:$F$22,1,D255)</f>
        <v>0</v>
      </c>
      <c r="N255" s="81" t="n">
        <f aca="false">'W Site Costs'!$J$15*F255*INDEX('W Assumptions'!$D$35:$F$35,1,D255)*INDEX('W Assumptions'!$D$22:$F$22,1,D255)</f>
        <v>0</v>
      </c>
      <c r="O255" s="81" t="n">
        <f aca="false">L255*'W Site Costs'!$K$15</f>
        <v>0</v>
      </c>
      <c r="P255" s="81" t="n">
        <f aca="false">SUM('W Site Costs'!$L$15:$Q$15)*F255*INDEX('W Assumptions'!$D$35:$F$35,1,D255)*INDEX('W Assumptions'!$D$22:$F$22,1,D255)</f>
        <v>0</v>
      </c>
      <c r="Q255" s="81" t="n">
        <f aca="false">L255*'W Site Costs'!$R$15*INDEX('W Assumptions'!$D$17:$F$17,1,D255)</f>
        <v>0</v>
      </c>
      <c r="R255" s="112" t="n">
        <f aca="false">L255*'W Sites'!$M$15</f>
        <v>0</v>
      </c>
      <c r="S255" s="81" t="n">
        <f aca="false">SUM(M255:R255)</f>
        <v>0</v>
      </c>
      <c r="T255" s="81" t="n">
        <f aca="false">L255-S255</f>
        <v>0</v>
      </c>
      <c r="U255" s="81" t="n">
        <f aca="false">IF(C255='W Budget &amp; Owners'!$I$15,'W Budget &amp; Owners'!$F$15*'W Sites'!$G$15,0)</f>
        <v>0</v>
      </c>
      <c r="V255" s="81" t="n">
        <f aca="false">'W Sites'!$G$15*'W Budget &amp; Owners'!$E$15*INDEX('W Assumptions'!$D$27:$F$27,1,D255)*(IF(C255='W Budget &amp; Owners'!$I$15,'W Assumptions'!$D$65,0)+IF(C255=DATE(YEAR('W Sites'!$F$15),MONTH('W Sites'!$F$15),1),1-'W Assumptions'!$D$65,0))+'W Sites'!$G$15*'W Budget &amp; Owners'!$E$15*IF(C255=DATE(2027,9,1),'W Assumptions'!$D$67,IF(C255=DATE(2028,9,1),'W Assumptions'!$D$69,0))</f>
        <v>0</v>
      </c>
      <c r="W255" s="81" t="n">
        <f aca="false">IF(((YEAR(C255)-YEAR('W Sites'!$F$15))*12+MONTH(C255)-MONTH('W Sites'!$F$15))&lt;'W Budget &amp; Owners'!$H$15,'W Budget &amp; Owners'!$E$15/'W Budget &amp; Owners'!$H$15*F255,0)+IF(C255&gt;=DATE(2027,9,1),'W Budget &amp; Owners'!$E$15*'W Assumptions'!$D$67/'W Budget &amp; Owners'!$H$15*F255,0)+IF(C255&gt;=DATE(2028,9,1),'W Budget &amp; Owners'!$E$15*'W Assumptions'!$D$69/'W Budget &amp; Owners'!$H$15*F255,0)</f>
        <v>0</v>
      </c>
      <c r="X255" s="81" t="n">
        <f aca="false">IF(C255='W Budget &amp; Owners'!$I$15,'W Budget &amp; Owners'!$G$15*'W Sites'!$G$15,0)</f>
        <v>0</v>
      </c>
      <c r="Y255" s="112" t="n">
        <f aca="false">IF(SUM($G$246:$G$255)=0,0,'W Fees &amp; KPI'!$Q$30*G255/SUM($G$246:$G$255))</f>
        <v>0</v>
      </c>
      <c r="Z255" s="119" t="n">
        <f aca="false">IF(SUM($G$246:$G$255)=0,0,SUM('W Fees &amp; KPI'!$J$30,'W Fees &amp; KPI'!$M$30)*G255/SUM($G$246:$G$255))</f>
        <v>0</v>
      </c>
      <c r="AA255" s="117" t="n">
        <f aca="false">T255-U255-Z255-Y255</f>
        <v>0</v>
      </c>
      <c r="AB255" s="119" t="n">
        <f aca="false">IF('W Fees &amp; KPI'!$D$30=0,0,T255-U255-Z255)</f>
        <v>0</v>
      </c>
    </row>
    <row r="256" customFormat="false" ht="21" hidden="false" customHeight="true" outlineLevel="0" collapsed="false">
      <c r="C256" s="144" t="n">
        <f aca="false">47027</f>
        <v>47027</v>
      </c>
      <c r="D256" s="81" t="n">
        <f aca="false">3</f>
        <v>3</v>
      </c>
      <c r="E256" s="81" t="str">
        <f aca="false">'W Sites'!C6</f>
        <v>S01</v>
      </c>
      <c r="F256" s="145" t="n">
        <f aca="false">'W Sites'!$G$6*MAX(0,EOMONTH(C256,0)-MAX(C256,'W Sites'!$F$6)+1)/DAY(EOMONTH(C256,0))</f>
        <v>1</v>
      </c>
      <c r="G256" s="145" t="n">
        <f aca="false">'W Sites'!$G$6*MAX(0,EOMONTH(C256,0)-MAX(C256,'W Sites'!$F$6,'W Assumptions'!$D$58)+1)/DAY(EOMONTH(C256,0))</f>
        <v>1</v>
      </c>
      <c r="H256" s="81" t="n">
        <f aca="false">'W Sites'!$D$45*INDEX('W Sites'!$E$65:$E$76,MONTH(C256),1)/SUM('W Sites'!$E$65:$E$76)*F256*(1+'W Sites'!$D$56)^(D256-1)*INDEX('W Assumptions'!$D$7:$F$7,1,D256)</f>
        <v>5267.4368</v>
      </c>
      <c r="I256" s="81" t="n">
        <f aca="false">H256*'W Sites'!$D$46/(1+'W Sites'!$D$54*'W Assumptions'!$D$39)*INDEX('W Assumptions'!$D$12:$F$12,1,D256)</f>
        <v>289709.024</v>
      </c>
      <c r="J256" s="81" t="n">
        <f aca="false">H256*SUM('W Sites'!$D$47:$D$49)/(1+'W Sites'!$D$54*'W Assumptions'!$D$39)*INDEX('W Assumptions'!$D$12:$F$12,1,D256)</f>
        <v>158023.104</v>
      </c>
      <c r="K256" s="81" t="n">
        <f aca="false">SUM('W Sites'!$D$50:$D$52)/12*F256*(1+'W Sites'!$D$56)^(D256-1)*INDEX('W Assumptions'!$D$7:$F$7,1,D256)*INDEX('W Assumptions'!$D$12:$F$12,1,D256)/(1+'W Sites'!$D$54*'W Assumptions'!$D$39)</f>
        <v>37453.3333333333</v>
      </c>
      <c r="L256" s="81" t="n">
        <f aca="false">SUM(I256:K256)</f>
        <v>485185.461333333</v>
      </c>
      <c r="M256" s="81" t="n">
        <f aca="false">('W Site Costs'!$I$6+INDEX('W Sites'!$F$65:$F$76,MONTH(C256),1)*'W Site Costs'!$V$6)*F256*(1+'W Sites'!$D$58)^(D256-1)*INDEX('W Assumptions'!$D$22:$F$22,1,D256)</f>
        <v>117353.6</v>
      </c>
      <c r="N256" s="81" t="n">
        <f aca="false">'W Site Costs'!$J$6*F256*INDEX('W Assumptions'!$D$35:$F$35,1,D256)*INDEX('W Assumptions'!$D$22:$F$22,1,D256)</f>
        <v>16224</v>
      </c>
      <c r="O256" s="81" t="n">
        <f aca="false">L256*'W Site Costs'!$K$6</f>
        <v>0</v>
      </c>
      <c r="P256" s="81" t="n">
        <f aca="false">(SUM('W Site Costs'!$L$6:$Q$6)+INDEX('W Sites'!$F$65:$F$76,MONTH(C256),1)*'W Site Costs'!$W$6)*F256*(1+'W Sites'!$D$58)^(D256-1)*INDEX('W Assumptions'!$D$22:$F$22,1,D256)</f>
        <v>80038.4</v>
      </c>
      <c r="Q256" s="81" t="n">
        <f aca="false">('W Site Costs'!$X$6+INDEX('W Sites'!$F$65:$F$76,MONTH(C256),1)*'W Site Costs'!$Y$6)*F256*(1+'W Sites'!$D$58)^(D256-1)*INDEX('W Assumptions'!$D$17:$F$17,1,D256)</f>
        <v>19468.8</v>
      </c>
      <c r="R256" s="112" t="n">
        <f aca="false">L256*'W Sites'!$M$6</f>
        <v>0</v>
      </c>
      <c r="S256" s="81" t="n">
        <f aca="false">SUM(M256:R256)</f>
        <v>233084.8</v>
      </c>
      <c r="T256" s="81" t="n">
        <f aca="false">L256-S256</f>
        <v>252100.661333333</v>
      </c>
      <c r="U256" s="81" t="n">
        <f aca="false">IF(C256='W Budget &amp; Owners'!$I$6,'W Budget &amp; Owners'!$F$6*'W Sites'!$G$6,0)</f>
        <v>0</v>
      </c>
      <c r="V256" s="81" t="n">
        <f aca="false">'W Sites'!$G$6*'W Budget &amp; Owners'!$E$6*INDEX('W Assumptions'!$D$27:$F$27,1,D256)*(IF(C256='W Budget &amp; Owners'!$I$6,'W Assumptions'!$D$65,0)+IF(C256=DATE(YEAR('W Sites'!$F$6),MONTH('W Sites'!$F$6),1),1-'W Assumptions'!$D$65,0))+'W Sites'!$G$6*'W Budget &amp; Owners'!$E$6*IF(C256=DATE(2027,9,1),'W Assumptions'!$D$67,IF(C256=DATE(2028,9,1),'W Assumptions'!$D$69,0))</f>
        <v>0</v>
      </c>
      <c r="W256" s="81" t="n">
        <f aca="false">IF(((YEAR(C256)-YEAR('W Sites'!$F$6))*12+MONTH(C256)-MONTH('W Sites'!$F$6))&lt;'W Budget &amp; Owners'!$H$6,'W Budget &amp; Owners'!$E$6/'W Budget &amp; Owners'!$H$6*F256,0)+IF(C256&gt;=DATE(2027,9,1),'W Budget &amp; Owners'!$E$6*'W Assumptions'!$D$67/'W Budget &amp; Owners'!$H$6*F256,0)+IF(C256&gt;=DATE(2028,9,1),'W Budget &amp; Owners'!$E$6*'W Assumptions'!$D$69/'W Budget &amp; Owners'!$H$6*F256,0)</f>
        <v>6125</v>
      </c>
      <c r="X256" s="81" t="n">
        <f aca="false">IF(C256='W Budget &amp; Owners'!$I$6,'W Budget &amp; Owners'!$G$6*'W Sites'!$G$6,0)</f>
        <v>0</v>
      </c>
      <c r="Y256" s="112" t="n">
        <f aca="false">IF(SUM($G$256:$G$265)=0,0,'W Fees &amp; KPI'!$Q$31*G256/SUM($G$256:$G$265))</f>
        <v>4536.55827900866</v>
      </c>
      <c r="Z256" s="119" t="n">
        <f aca="false">IF(SUM($G$256:$G$265)=0,0,SUM('W Fees &amp; KPI'!$J$31,'W Fees &amp; KPI'!$M$31)*G256/SUM($G$256:$G$265))</f>
        <v>5223.75</v>
      </c>
      <c r="AA256" s="117" t="n">
        <f aca="false">T256-U256-Z256-Y256</f>
        <v>242340.353054325</v>
      </c>
      <c r="AB256" s="119" t="n">
        <f aca="false">IF('W Fees &amp; KPI'!$D$31=0,0,T256-U256-Z256)</f>
        <v>246876.911333333</v>
      </c>
    </row>
    <row r="257" customFormat="false" ht="21" hidden="false" customHeight="true" outlineLevel="0" collapsed="false">
      <c r="C257" s="144" t="n">
        <f aca="false">47027</f>
        <v>47027</v>
      </c>
      <c r="D257" s="81" t="n">
        <f aca="false">3</f>
        <v>3</v>
      </c>
      <c r="E257" s="81" t="str">
        <f aca="false">'W Sites'!C7</f>
        <v>S02</v>
      </c>
      <c r="F257" s="145" t="n">
        <f aca="false">'W Sites'!$G$7*MAX(0,EOMONTH(C257,0)-MAX(C257,'W Sites'!$F$7)+1)/DAY(EOMONTH(C257,0))</f>
        <v>1</v>
      </c>
      <c r="G257" s="145" t="n">
        <f aca="false">'W Sites'!$G$7*MAX(0,EOMONTH(C257,0)-MAX(C257,'W Sites'!$F$7,'W Assumptions'!$D$58)+1)/DAY(EOMONTH(C257,0))</f>
        <v>1</v>
      </c>
      <c r="H257" s="81" t="n">
        <f aca="false">'W Sites'!$H$7*F257*'W Sites'!$I$7*IF(((YEAR(C257)-YEAR('W Sites'!$F$7))*12+MONTH(C257)-MONTH('W Sites'!$F$7))=0,'W Assumptions'!$D$62,IF(((YEAR(C257)-YEAR('W Sites'!$F$7))*12+MONTH(C257)-MONTH('W Sites'!$F$7))=1,'W Assumptions'!$D$63,1))*INDEX('W Assumptions'!$D$7:$F$7,1,D257)*INDEX('W Assumptions'!$D$32:$F$32,1,D257)*INDEX('W Assumptions'!$D$80:$D$91,MONTH(C257),1)/AVERAGE('W Assumptions'!$D$80:$D$91)</f>
        <v>2619.54</v>
      </c>
      <c r="I257" s="81" t="n">
        <f aca="false">H257*'W Sites'!$J$7/(1+'W Assumptions'!$D$39)*INDEX('W Assumptions'!$D$12:$F$12,1,D257)*INDEX('W Assumptions'!$D$33:$F$33,1,D257)</f>
        <v>84580.3908782609</v>
      </c>
      <c r="J257" s="81" t="n">
        <f aca="false">H257*'W Sites'!$K$7/(1+'W Assumptions'!$D$39)*INDEX('W Assumptions'!$D$12:$F$12,1,D257)*INDEX('W Assumptions'!$D$33:$F$33,1,D257)</f>
        <v>7249.74778956522</v>
      </c>
      <c r="K257" s="81" t="n">
        <f aca="false">'W Sites'!$L$7*F257*IF(((YEAR(C257)-YEAR('W Sites'!$F$7))*12+MONTH(C257)-MONTH('W Sites'!$F$7))=0,'W Assumptions'!$D$62,IF(((YEAR(C257)-YEAR('W Sites'!$F$7))*12+MONTH(C257)-MONTH('W Sites'!$F$7))=1,'W Assumptions'!$D$63,1))*INDEX('W Assumptions'!$D$7:$F$7,1,D257)*INDEX('W Assumptions'!$D$32:$F$32,1,D257)</f>
        <v>5940</v>
      </c>
      <c r="L257" s="81" t="n">
        <f aca="false">SUM(I257:K257)</f>
        <v>97770.1386678261</v>
      </c>
      <c r="M257" s="81" t="n">
        <f aca="false">'W Site Costs'!$I$7*F257*INDEX('W Assumptions'!$D$34:$F$34,1,D257)*INDEX('W Assumptions'!$D$22:$F$22,1,D257)</f>
        <v>35776.125</v>
      </c>
      <c r="N257" s="81" t="n">
        <f aca="false">'W Site Costs'!$J$7*F257*INDEX('W Assumptions'!$D$35:$F$35,1,D257)*INDEX('W Assumptions'!$D$22:$F$22,1,D257)</f>
        <v>0</v>
      </c>
      <c r="O257" s="81" t="n">
        <f aca="false">L257*'W Site Costs'!$K$7</f>
        <v>14665.5208001739</v>
      </c>
      <c r="P257" s="81" t="n">
        <f aca="false">SUM('W Site Costs'!$L$7:$Q$7)*F257*INDEX('W Assumptions'!$D$35:$F$35,1,D257)*INDEX('W Assumptions'!$D$22:$F$22,1,D257)</f>
        <v>12654.72</v>
      </c>
      <c r="Q257" s="81" t="n">
        <f aca="false">L257*'W Site Costs'!$R$7*INDEX('W Assumptions'!$D$17:$F$17,1,D257)</f>
        <v>5866.20832006956</v>
      </c>
      <c r="R257" s="112" t="n">
        <f aca="false">L257*'W Sites'!$M$7</f>
        <v>0</v>
      </c>
      <c r="S257" s="81" t="n">
        <f aca="false">SUM(M257:R257)</f>
        <v>68962.5741202435</v>
      </c>
      <c r="T257" s="81" t="n">
        <f aca="false">L257-S257</f>
        <v>28807.5645475826</v>
      </c>
      <c r="U257" s="81" t="n">
        <f aca="false">IF(C257='W Budget &amp; Owners'!$I$7,'W Budget &amp; Owners'!$F$7*'W Sites'!$G$7,0)</f>
        <v>0</v>
      </c>
      <c r="V257" s="81" t="n">
        <f aca="false">'W Sites'!$G$7*'W Budget &amp; Owners'!$E$7*INDEX('W Assumptions'!$D$27:$F$27,1,D257)*(IF(C257='W Budget &amp; Owners'!$I$7,'W Assumptions'!$D$65,0)+IF(C257=DATE(YEAR('W Sites'!$F$7),MONTH('W Sites'!$F$7),1),1-'W Assumptions'!$D$65,0))+'W Sites'!$G$7*'W Budget &amp; Owners'!$E$7*IF(C257=DATE(2027,9,1),'W Assumptions'!$D$67,IF(C257=DATE(2028,9,1),'W Assumptions'!$D$69,0))</f>
        <v>0</v>
      </c>
      <c r="W257" s="81" t="n">
        <f aca="false">IF(((YEAR(C257)-YEAR('W Sites'!$F$7))*12+MONTH(C257)-MONTH('W Sites'!$F$7))&lt;'W Budget &amp; Owners'!$H$7,'W Budget &amp; Owners'!$E$7/'W Budget &amp; Owners'!$H$7*F257,0)+IF(C257&gt;=DATE(2027,9,1),'W Budget &amp; Owners'!$E$7*'W Assumptions'!$D$67/'W Budget &amp; Owners'!$H$7*F257,0)+IF(C257&gt;=DATE(2028,9,1),'W Budget &amp; Owners'!$E$7*'W Assumptions'!$D$69/'W Budget &amp; Owners'!$H$7*F257,0)</f>
        <v>1400</v>
      </c>
      <c r="X257" s="81" t="n">
        <f aca="false">IF(C257='W Budget &amp; Owners'!$I$7,'W Budget &amp; Owners'!$G$7*'W Sites'!$G$7,0)</f>
        <v>0</v>
      </c>
      <c r="Y257" s="112" t="n">
        <f aca="false">IF(SUM($G$256:$G$265)=0,0,'W Fees &amp; KPI'!$Q$31*G257/SUM($G$256:$G$265))</f>
        <v>4536.55827900866</v>
      </c>
      <c r="Z257" s="119" t="n">
        <f aca="false">IF(SUM($G$256:$G$265)=0,0,SUM('W Fees &amp; KPI'!$J$31,'W Fees &amp; KPI'!$M$31)*G257/SUM($G$256:$G$265))</f>
        <v>5223.75</v>
      </c>
      <c r="AA257" s="117" t="n">
        <f aca="false">T257-U257-Z257-Y257</f>
        <v>19047.2562685739</v>
      </c>
      <c r="AB257" s="119" t="n">
        <f aca="false">IF('W Fees &amp; KPI'!$D$31=0,0,T257-U257-Z257)</f>
        <v>23583.8145475826</v>
      </c>
    </row>
    <row r="258" customFormat="false" ht="21" hidden="false" customHeight="true" outlineLevel="0" collapsed="false">
      <c r="C258" s="144" t="n">
        <f aca="false">47027</f>
        <v>47027</v>
      </c>
      <c r="D258" s="81" t="n">
        <f aca="false">3</f>
        <v>3</v>
      </c>
      <c r="E258" s="81" t="str">
        <f aca="false">'W Sites'!C8</f>
        <v>S03</v>
      </c>
      <c r="F258" s="145" t="n">
        <f aca="false">'W Sites'!$G$8*MAX(0,EOMONTH(C258,0)-MAX(C258,'W Sites'!$F$8)+1)/DAY(EOMONTH(C258,0))</f>
        <v>1</v>
      </c>
      <c r="G258" s="145" t="n">
        <f aca="false">'W Sites'!$G$8*MAX(0,EOMONTH(C258,0)-MAX(C258,'W Sites'!$F$8,'W Assumptions'!$D$58)+1)/DAY(EOMONTH(C258,0))</f>
        <v>1</v>
      </c>
      <c r="H258" s="81" t="n">
        <f aca="false">'W Sites'!$H$8*F258*'W Sites'!$I$8*IF(((YEAR(C258)-YEAR('W Sites'!$F$8))*12+MONTH(C258)-MONTH('W Sites'!$F$8))=0,'W Assumptions'!$D$62,IF(((YEAR(C258)-YEAR('W Sites'!$F$8))*12+MONTH(C258)-MONTH('W Sites'!$F$8))=1,'W Assumptions'!$D$63,1))*INDEX('W Assumptions'!$D$7:$F$7,1,D258)*INDEX('W Assumptions'!$D$32:$F$32,1,D258)*INDEX('W Assumptions'!$D$80:$D$91,MONTH(C258),1)/AVERAGE('W Assumptions'!$D$80:$D$91)</f>
        <v>3537.14794520548</v>
      </c>
      <c r="I258" s="81" t="n">
        <f aca="false">H258*'W Sites'!$J$8/(1+'W Assumptions'!$D$39)*INDEX('W Assumptions'!$D$12:$F$12,1,D258)*INDEX('W Assumptions'!$D$33:$F$33,1,D258)</f>
        <v>212101.231808219</v>
      </c>
      <c r="J258" s="81" t="n">
        <f aca="false">H258*'W Sites'!$K$8/(1+'W Assumptions'!$D$39)*INDEX('W Assumptions'!$D$12:$F$12,1,D258)*INDEX('W Assumptions'!$D$33:$F$33,1,D258)</f>
        <v>26104.7669917808</v>
      </c>
      <c r="K258" s="81" t="n">
        <f aca="false">'W Sites'!$L$8*F258*IF(((YEAR(C258)-YEAR('W Sites'!$F$8))*12+MONTH(C258)-MONTH('W Sites'!$F$8))=0,'W Assumptions'!$D$62,IF(((YEAR(C258)-YEAR('W Sites'!$F$8))*12+MONTH(C258)-MONTH('W Sites'!$F$8))=1,'W Assumptions'!$D$63,1))*INDEX('W Assumptions'!$D$7:$F$7,1,D258)*INDEX('W Assumptions'!$D$32:$F$32,1,D258)</f>
        <v>23760</v>
      </c>
      <c r="L258" s="81" t="n">
        <f aca="false">SUM(I258:K258)</f>
        <v>261965.9988</v>
      </c>
      <c r="M258" s="81" t="n">
        <f aca="false">'W Site Costs'!$I$8*F258*INDEX('W Assumptions'!$D$34:$F$34,1,D258)*INDEX('W Assumptions'!$D$22:$F$22,1,D258)</f>
        <v>52948.665</v>
      </c>
      <c r="N258" s="81" t="n">
        <f aca="false">'W Site Costs'!$J$8*F258*INDEX('W Assumptions'!$D$35:$F$35,1,D258)*INDEX('W Assumptions'!$D$22:$F$22,1,D258)</f>
        <v>37856</v>
      </c>
      <c r="O258" s="81" t="n">
        <f aca="false">L258*'W Site Costs'!$K$8</f>
        <v>0</v>
      </c>
      <c r="P258" s="81" t="n">
        <f aca="false">SUM('W Site Costs'!$L$8:$Q$8)*F258*INDEX('W Assumptions'!$D$35:$F$35,1,D258)*INDEX('W Assumptions'!$D$22:$F$22,1,D258)</f>
        <v>21091.2</v>
      </c>
      <c r="Q258" s="81" t="n">
        <f aca="false">L258*'W Site Costs'!$R$8*INDEX('W Assumptions'!$D$17:$F$17,1,D258)</f>
        <v>20957.279904</v>
      </c>
      <c r="R258" s="112" t="n">
        <f aca="false">L258*'W Sites'!$M$8</f>
        <v>0</v>
      </c>
      <c r="S258" s="81" t="n">
        <f aca="false">SUM(M258:R258)</f>
        <v>132853.144904</v>
      </c>
      <c r="T258" s="81" t="n">
        <f aca="false">L258-S258</f>
        <v>129112.853896</v>
      </c>
      <c r="U258" s="81" t="n">
        <f aca="false">IF(C258='W Budget &amp; Owners'!$I$8,'W Budget &amp; Owners'!$F$8*'W Sites'!$G$8,0)</f>
        <v>0</v>
      </c>
      <c r="V258" s="81" t="n">
        <f aca="false">'W Sites'!$G$8*'W Budget &amp; Owners'!$E$8*INDEX('W Assumptions'!$D$27:$F$27,1,D258)*(IF(C258='W Budget &amp; Owners'!$I$8,'W Assumptions'!$D$65,0)+IF(C258=DATE(YEAR('W Sites'!$F$8),MONTH('W Sites'!$F$8),1),1-'W Assumptions'!$D$65,0))+'W Sites'!$G$8*'W Budget &amp; Owners'!$E$8*IF(C258=DATE(2027,9,1),'W Assumptions'!$D$67,IF(C258=DATE(2028,9,1),'W Assumptions'!$D$69,0))</f>
        <v>0</v>
      </c>
      <c r="W258" s="81" t="n">
        <f aca="false">IF(((YEAR(C258)-YEAR('W Sites'!$F$8))*12+MONTH(C258)-MONTH('W Sites'!$F$8))&lt;'W Budget &amp; Owners'!$H$8,'W Budget &amp; Owners'!$E$8/'W Budget &amp; Owners'!$H$8*F258,0)+IF(C258&gt;=DATE(2027,9,1),'W Budget &amp; Owners'!$E$8*'W Assumptions'!$D$67/'W Budget &amp; Owners'!$H$8*F258,0)+IF(C258&gt;=DATE(2028,9,1),'W Budget &amp; Owners'!$E$8*'W Assumptions'!$D$69/'W Budget &amp; Owners'!$H$8*F258,0)</f>
        <v>10500</v>
      </c>
      <c r="X258" s="81" t="n">
        <f aca="false">IF(C258='W Budget &amp; Owners'!$I$8,'W Budget &amp; Owners'!$G$8*'W Sites'!$G$8,0)</f>
        <v>0</v>
      </c>
      <c r="Y258" s="112" t="n">
        <f aca="false">IF(SUM($G$256:$G$265)=0,0,'W Fees &amp; KPI'!$Q$31*G258/SUM($G$256:$G$265))</f>
        <v>4536.55827900866</v>
      </c>
      <c r="Z258" s="119" t="n">
        <f aca="false">IF(SUM($G$256:$G$265)=0,0,SUM('W Fees &amp; KPI'!$J$31,'W Fees &amp; KPI'!$M$31)*G258/SUM($G$256:$G$265))</f>
        <v>5223.75</v>
      </c>
      <c r="AA258" s="117" t="n">
        <f aca="false">T258-U258-Z258-Y258</f>
        <v>119352.545616991</v>
      </c>
      <c r="AB258" s="119" t="n">
        <f aca="false">IF('W Fees &amp; KPI'!$D$31=0,0,T258-U258-Z258)</f>
        <v>123889.103896</v>
      </c>
    </row>
    <row r="259" customFormat="false" ht="21" hidden="false" customHeight="true" outlineLevel="0" collapsed="false">
      <c r="C259" s="144" t="n">
        <f aca="false">47027</f>
        <v>47027</v>
      </c>
      <c r="D259" s="81" t="n">
        <f aca="false">3</f>
        <v>3</v>
      </c>
      <c r="E259" s="81" t="str">
        <f aca="false">'W Sites'!C9</f>
        <v>S04</v>
      </c>
      <c r="F259" s="145" t="n">
        <f aca="false">'W Sites'!$G$9*MAX(0,EOMONTH(C259,0)-MAX(C259,'W Sites'!$F$9)+1)/DAY(EOMONTH(C259,0))</f>
        <v>1</v>
      </c>
      <c r="G259" s="145" t="n">
        <f aca="false">'W Sites'!$G$9*MAX(0,EOMONTH(C259,0)-MAX(C259,'W Sites'!$F$9,'W Assumptions'!$D$58)+1)/DAY(EOMONTH(C259,0))</f>
        <v>1</v>
      </c>
      <c r="H259" s="81" t="n">
        <f aca="false">'W Sites'!$H$9*F259*'W Sites'!$I$9*IF(((YEAR(C259)-YEAR('W Sites'!$F$9))*12+MONTH(C259)-MONTH('W Sites'!$F$9))=0,'W Assumptions'!$D$62,IF(((YEAR(C259)-YEAR('W Sites'!$F$9))*12+MONTH(C259)-MONTH('W Sites'!$F$9))=1,'W Assumptions'!$D$63,1))*INDEX('W Assumptions'!$D$7:$F$7,1,D259)*INDEX('W Assumptions'!$D$32:$F$32,1,D259)*INDEX('W Assumptions'!$D$80:$D$91,MONTH(C259),1)/AVERAGE('W Assumptions'!$D$80:$D$91)</f>
        <v>2490.46875</v>
      </c>
      <c r="I259" s="81" t="n">
        <f aca="false">H259*'W Sites'!$J$9/(1+'W Assumptions'!$D$39)*INDEX('W Assumptions'!$D$12:$F$12,1,D259)*INDEX('W Assumptions'!$D$33:$F$33,1,D259)</f>
        <v>149338.2515625</v>
      </c>
      <c r="J259" s="81" t="n">
        <f aca="false">H259*'W Sites'!$K$9/(1+'W Assumptions'!$D$39)*INDEX('W Assumptions'!$D$12:$F$12,1,D259)*INDEX('W Assumptions'!$D$33:$F$33,1,D259)</f>
        <v>16082.5809375</v>
      </c>
      <c r="K259" s="81" t="n">
        <f aca="false">'W Sites'!$L$9*F259*IF(((YEAR(C259)-YEAR('W Sites'!$F$9))*12+MONTH(C259)-MONTH('W Sites'!$F$9))=0,'W Assumptions'!$D$62,IF(((YEAR(C259)-YEAR('W Sites'!$F$9))*12+MONTH(C259)-MONTH('W Sites'!$F$9))=1,'W Assumptions'!$D$63,1))*INDEX('W Assumptions'!$D$7:$F$7,1,D259)*INDEX('W Assumptions'!$D$32:$F$32,1,D259)</f>
        <v>17820</v>
      </c>
      <c r="L259" s="81" t="n">
        <f aca="false">SUM(I259:K259)</f>
        <v>183240.8325</v>
      </c>
      <c r="M259" s="81" t="n">
        <f aca="false">'W Site Costs'!$I$9*F259*INDEX('W Assumptions'!$D$34:$F$34,1,D259)*INDEX('W Assumptions'!$D$22:$F$22,1,D259)</f>
        <v>41630.4</v>
      </c>
      <c r="N259" s="81" t="n">
        <f aca="false">'W Site Costs'!$J$9*F259*INDEX('W Assumptions'!$D$35:$F$35,1,D259)*INDEX('W Assumptions'!$D$22:$F$22,1,D259)</f>
        <v>23795.2</v>
      </c>
      <c r="O259" s="81" t="n">
        <f aca="false">L259*'W Site Costs'!$K$9</f>
        <v>0</v>
      </c>
      <c r="P259" s="81" t="n">
        <f aca="false">SUM('W Site Costs'!$L$9:$Q$9)*F259*INDEX('W Assumptions'!$D$35:$F$35,1,D259)*INDEX('W Assumptions'!$D$22:$F$22,1,D259)</f>
        <v>16764.8</v>
      </c>
      <c r="Q259" s="81" t="n">
        <f aca="false">L259*'W Site Costs'!$R$9*INDEX('W Assumptions'!$D$17:$F$17,1,D259)</f>
        <v>14659.2666</v>
      </c>
      <c r="R259" s="112" t="n">
        <f aca="false">L259*'W Sites'!$M$9</f>
        <v>0</v>
      </c>
      <c r="S259" s="81" t="n">
        <f aca="false">SUM(M259:R259)</f>
        <v>96849.6666</v>
      </c>
      <c r="T259" s="81" t="n">
        <f aca="false">L259-S259</f>
        <v>86391.1659</v>
      </c>
      <c r="U259" s="81" t="n">
        <f aca="false">IF(C259='W Budget &amp; Owners'!$I$9,'W Budget &amp; Owners'!$F$9*'W Sites'!$G$9,0)</f>
        <v>0</v>
      </c>
      <c r="V259" s="81" t="n">
        <f aca="false">'W Sites'!$G$9*'W Budget &amp; Owners'!$E$9*INDEX('W Assumptions'!$D$27:$F$27,1,D259)*(IF(C259='W Budget &amp; Owners'!$I$9,'W Assumptions'!$D$65,0)+IF(C259=DATE(YEAR('W Sites'!$F$9),MONTH('W Sites'!$F$9),1),1-'W Assumptions'!$D$65,0))+'W Sites'!$G$9*'W Budget &amp; Owners'!$E$9*IF(C259=DATE(2027,9,1),'W Assumptions'!$D$67,IF(C259=DATE(2028,9,1),'W Assumptions'!$D$69,0))</f>
        <v>0</v>
      </c>
      <c r="W259" s="81" t="n">
        <f aca="false">IF(((YEAR(C259)-YEAR('W Sites'!$F$9))*12+MONTH(C259)-MONTH('W Sites'!$F$9))&lt;'W Budget &amp; Owners'!$H$9,'W Budget &amp; Owners'!$E$9/'W Budget &amp; Owners'!$H$9*F259,0)+IF(C259&gt;=DATE(2027,9,1),'W Budget &amp; Owners'!$E$9*'W Assumptions'!$D$67/'W Budget &amp; Owners'!$H$9*F259,0)+IF(C259&gt;=DATE(2028,9,1),'W Budget &amp; Owners'!$E$9*'W Assumptions'!$D$69/'W Budget &amp; Owners'!$H$9*F259,0)</f>
        <v>8750</v>
      </c>
      <c r="X259" s="81" t="n">
        <f aca="false">IF(C259='W Budget &amp; Owners'!$I$9,'W Budget &amp; Owners'!$G$9*'W Sites'!$G$9,0)</f>
        <v>0</v>
      </c>
      <c r="Y259" s="112" t="n">
        <f aca="false">IF(SUM($G$256:$G$265)=0,0,'W Fees &amp; KPI'!$Q$31*G259/SUM($G$256:$G$265))</f>
        <v>4536.55827900866</v>
      </c>
      <c r="Z259" s="119" t="n">
        <f aca="false">IF(SUM($G$256:$G$265)=0,0,SUM('W Fees &amp; KPI'!$J$31,'W Fees &amp; KPI'!$M$31)*G259/SUM($G$256:$G$265))</f>
        <v>5223.75</v>
      </c>
      <c r="AA259" s="117" t="n">
        <f aca="false">T259-U259-Z259-Y259</f>
        <v>76630.8576209913</v>
      </c>
      <c r="AB259" s="119" t="n">
        <f aca="false">IF('W Fees &amp; KPI'!$D$31=0,0,T259-U259-Z259)</f>
        <v>81167.4159</v>
      </c>
    </row>
    <row r="260" customFormat="false" ht="21" hidden="false" customHeight="true" outlineLevel="0" collapsed="false">
      <c r="C260" s="144" t="n">
        <f aca="false">47027</f>
        <v>47027</v>
      </c>
      <c r="D260" s="81" t="n">
        <f aca="false">3</f>
        <v>3</v>
      </c>
      <c r="E260" s="81" t="str">
        <f aca="false">'W Sites'!C10</f>
        <v>S05</v>
      </c>
      <c r="F260" s="145" t="n">
        <f aca="false">'W Sites'!$G$10*MAX(0,EOMONTH(C260,0)-MAX(C260,'W Sites'!$F$10)+1)/DAY(EOMONTH(C260,0))</f>
        <v>1</v>
      </c>
      <c r="G260" s="145" t="n">
        <f aca="false">'W Sites'!$G$10*MAX(0,EOMONTH(C260,0)-MAX(C260,'W Sites'!$F$10,'W Assumptions'!$D$58)+1)/DAY(EOMONTH(C260,0))</f>
        <v>1</v>
      </c>
      <c r="H260" s="81" t="n">
        <f aca="false">'W Sites'!$H$10*F260*'W Sites'!$I$10*IF(((YEAR(C260)-YEAR('W Sites'!$F$10))*12+MONTH(C260)-MONTH('W Sites'!$F$10))=0,'W Assumptions'!$D$62,IF(((YEAR(C260)-YEAR('W Sites'!$F$10))*12+MONTH(C260)-MONTH('W Sites'!$F$10))=1,'W Assumptions'!$D$63,1))*INDEX('W Assumptions'!$D$7:$F$7,1,D260)*INDEX('W Assumptions'!$D$32:$F$32,1,D260)*INDEX('W Assumptions'!$D$80:$D$91,MONTH(C260),1)/AVERAGE('W Assumptions'!$D$80:$D$91)</f>
        <v>3183.43315068493</v>
      </c>
      <c r="I260" s="81" t="n">
        <f aca="false">H260*'W Sites'!$J$10/(1+'W Assumptions'!$D$39)*INDEX('W Assumptions'!$D$12:$F$12,1,D260)*INDEX('W Assumptions'!$D$33:$F$33,1,D260)</f>
        <v>190891.108627397</v>
      </c>
      <c r="J260" s="81" t="n">
        <f aca="false">H260*'W Sites'!$K$10/(1+'W Assumptions'!$D$39)*INDEX('W Assumptions'!$D$12:$F$12,1,D260)*INDEX('W Assumptions'!$D$33:$F$33,1,D260)</f>
        <v>23494.2902926027</v>
      </c>
      <c r="K260" s="81" t="n">
        <f aca="false">'W Sites'!$L$10*F260*IF(((YEAR(C260)-YEAR('W Sites'!$F$10))*12+MONTH(C260)-MONTH('W Sites'!$F$10))=0,'W Assumptions'!$D$62,IF(((YEAR(C260)-YEAR('W Sites'!$F$10))*12+MONTH(C260)-MONTH('W Sites'!$F$10))=1,'W Assumptions'!$D$63,1))*INDEX('W Assumptions'!$D$7:$F$7,1,D260)*INDEX('W Assumptions'!$D$32:$F$32,1,D260)</f>
        <v>21384</v>
      </c>
      <c r="L260" s="81" t="n">
        <f aca="false">SUM(I260:K260)</f>
        <v>235769.39892</v>
      </c>
      <c r="M260" s="81" t="n">
        <f aca="false">'W Site Costs'!$I$10*F260*INDEX('W Assumptions'!$D$34:$F$34,1,D260)*INDEX('W Assumptions'!$D$22:$F$22,1,D260)</f>
        <v>52948.665</v>
      </c>
      <c r="N260" s="81" t="n">
        <f aca="false">'W Site Costs'!$J$10*F260*INDEX('W Assumptions'!$D$35:$F$35,1,D260)*INDEX('W Assumptions'!$D$22:$F$22,1,D260)</f>
        <v>32448</v>
      </c>
      <c r="O260" s="81" t="n">
        <f aca="false">L260*'W Site Costs'!$K$10</f>
        <v>0</v>
      </c>
      <c r="P260" s="81" t="n">
        <f aca="false">SUM('W Site Costs'!$L$10:$Q$10)*F260*INDEX('W Assumptions'!$D$35:$F$35,1,D260)*INDEX('W Assumptions'!$D$22:$F$22,1,D260)</f>
        <v>20550.4</v>
      </c>
      <c r="Q260" s="81" t="n">
        <f aca="false">L260*'W Site Costs'!$R$10*INDEX('W Assumptions'!$D$17:$F$17,1,D260)</f>
        <v>18861.5519136</v>
      </c>
      <c r="R260" s="112" t="n">
        <f aca="false">L260*'W Sites'!$M$10</f>
        <v>0</v>
      </c>
      <c r="S260" s="81" t="n">
        <f aca="false">SUM(M260:R260)</f>
        <v>124808.6169136</v>
      </c>
      <c r="T260" s="81" t="n">
        <f aca="false">L260-S260</f>
        <v>110960.7820064</v>
      </c>
      <c r="U260" s="81" t="n">
        <f aca="false">IF(C260='W Budget &amp; Owners'!$I$10,'W Budget &amp; Owners'!$F$10*'W Sites'!$G$10,0)</f>
        <v>0</v>
      </c>
      <c r="V260" s="81" t="n">
        <f aca="false">'W Sites'!$G$10*'W Budget &amp; Owners'!$E$10*INDEX('W Assumptions'!$D$27:$F$27,1,D260)*(IF(C260='W Budget &amp; Owners'!$I$10,'W Assumptions'!$D$65,0)+IF(C260=DATE(YEAR('W Sites'!$F$10),MONTH('W Sites'!$F$10),1),1-'W Assumptions'!$D$65,0))+'W Sites'!$G$10*'W Budget &amp; Owners'!$E$10*IF(C260=DATE(2027,9,1),'W Assumptions'!$D$67,IF(C260=DATE(2028,9,1),'W Assumptions'!$D$69,0))</f>
        <v>0</v>
      </c>
      <c r="W260" s="81" t="n">
        <f aca="false">IF(((YEAR(C260)-YEAR('W Sites'!$F$10))*12+MONTH(C260)-MONTH('W Sites'!$F$10))&lt;'W Budget &amp; Owners'!$H$10,'W Budget &amp; Owners'!$E$10/'W Budget &amp; Owners'!$H$10*F260,0)+IF(C260&gt;=DATE(2027,9,1),'W Budget &amp; Owners'!$E$10*'W Assumptions'!$D$67/'W Budget &amp; Owners'!$H$10*F260,0)+IF(C260&gt;=DATE(2028,9,1),'W Budget &amp; Owners'!$E$10*'W Assumptions'!$D$69/'W Budget &amp; Owners'!$H$10*F260,0)</f>
        <v>13125</v>
      </c>
      <c r="X260" s="81" t="n">
        <f aca="false">IF(C260='W Budget &amp; Owners'!$I$10,'W Budget &amp; Owners'!$G$10*'W Sites'!$G$10,0)</f>
        <v>0</v>
      </c>
      <c r="Y260" s="112" t="n">
        <f aca="false">IF(SUM($G$256:$G$265)=0,0,'W Fees &amp; KPI'!$Q$31*G260/SUM($G$256:$G$265))</f>
        <v>4536.55827900866</v>
      </c>
      <c r="Z260" s="119" t="n">
        <f aca="false">IF(SUM($G$256:$G$265)=0,0,SUM('W Fees &amp; KPI'!$J$31,'W Fees &amp; KPI'!$M$31)*G260/SUM($G$256:$G$265))</f>
        <v>5223.75</v>
      </c>
      <c r="AA260" s="117" t="n">
        <f aca="false">T260-U260-Z260-Y260</f>
        <v>101200.473727391</v>
      </c>
      <c r="AB260" s="119" t="n">
        <f aca="false">IF('W Fees &amp; KPI'!$D$31=0,0,T260-U260-Z260)</f>
        <v>105737.0320064</v>
      </c>
    </row>
    <row r="261" customFormat="false" ht="21" hidden="false" customHeight="true" outlineLevel="0" collapsed="false">
      <c r="C261" s="144" t="n">
        <f aca="false">47027</f>
        <v>47027</v>
      </c>
      <c r="D261" s="81" t="n">
        <f aca="false">3</f>
        <v>3</v>
      </c>
      <c r="E261" s="81" t="str">
        <f aca="false">'W Sites'!C11</f>
        <v>S06</v>
      </c>
      <c r="F261" s="145" t="n">
        <f aca="false">'W Sites'!$G$11*MAX(0,EOMONTH(C261,0)-MAX(C261,'W Sites'!$F$11)+1)/DAY(EOMONTH(C261,0))</f>
        <v>1</v>
      </c>
      <c r="G261" s="145" t="n">
        <f aca="false">'W Sites'!$G$11*MAX(0,EOMONTH(C261,0)-MAX(C261,'W Sites'!$F$11,'W Assumptions'!$D$58)+1)/DAY(EOMONTH(C261,0))</f>
        <v>1</v>
      </c>
      <c r="H261" s="81" t="n">
        <f aca="false">'W Sites'!$H$11*F261*'W Sites'!$I$11*IF(((YEAR(C261)-YEAR('W Sites'!$F$11))*12+MONTH(C261)-MONTH('W Sites'!$F$11))=0,'W Assumptions'!$D$62,IF(((YEAR(C261)-YEAR('W Sites'!$F$11))*12+MONTH(C261)-MONTH('W Sites'!$F$11))=1,'W Assumptions'!$D$63,1))*INDEX('W Assumptions'!$D$7:$F$7,1,D261)*INDEX('W Assumptions'!$D$32:$F$32,1,D261)*INDEX('W Assumptions'!$D$80:$D$91,MONTH(C261),1)/AVERAGE('W Assumptions'!$D$80:$D$91)</f>
        <v>972.972</v>
      </c>
      <c r="I261" s="81" t="n">
        <f aca="false">H261*'W Sites'!$J$11/(1+'W Assumptions'!$D$39)*INDEX('W Assumptions'!$D$12:$F$12,1,D261)*INDEX('W Assumptions'!$D$33:$F$33,1,D261)</f>
        <v>53855.269293913</v>
      </c>
      <c r="J261" s="81" t="n">
        <f aca="false">H261*'W Sites'!$K$11/(1+'W Assumptions'!$D$39)*INDEX('W Assumptions'!$D$12:$F$12,1,D261)*INDEX('W Assumptions'!$D$33:$F$33,1,D261)</f>
        <v>2692.76346469565</v>
      </c>
      <c r="K261" s="81" t="n">
        <f aca="false">'W Sites'!$L$11*F261*IF(((YEAR(C261)-YEAR('W Sites'!$F$11))*12+MONTH(C261)-MONTH('W Sites'!$F$11))=0,'W Assumptions'!$D$62,IF(((YEAR(C261)-YEAR('W Sites'!$F$11))*12+MONTH(C261)-MONTH('W Sites'!$F$11))=1,'W Assumptions'!$D$63,1))*INDEX('W Assumptions'!$D$7:$F$7,1,D261)*INDEX('W Assumptions'!$D$32:$F$32,1,D261)</f>
        <v>23760</v>
      </c>
      <c r="L261" s="81" t="n">
        <f aca="false">SUM(I261:K261)</f>
        <v>80308.0327586087</v>
      </c>
      <c r="M261" s="81" t="n">
        <f aca="false">'W Site Costs'!$I$11*F261*INDEX('W Assumptions'!$D$34:$F$34,1,D261)*INDEX('W Assumptions'!$D$22:$F$22,1,D261)</f>
        <v>26279.19</v>
      </c>
      <c r="N261" s="81" t="n">
        <f aca="false">'W Site Costs'!$J$11*F261*INDEX('W Assumptions'!$D$35:$F$35,1,D261)*INDEX('W Assumptions'!$D$22:$F$22,1,D261)</f>
        <v>5408</v>
      </c>
      <c r="O261" s="81" t="n">
        <f aca="false">L261*'W Site Costs'!$K$11</f>
        <v>0</v>
      </c>
      <c r="P261" s="81" t="n">
        <f aca="false">SUM('W Site Costs'!$L$11:$Q$11)*F261*INDEX('W Assumptions'!$D$35:$F$35,1,D261)*INDEX('W Assumptions'!$D$22:$F$22,1,D261)</f>
        <v>8652.8</v>
      </c>
      <c r="Q261" s="81" t="n">
        <f aca="false">L261*'W Site Costs'!$R$11*INDEX('W Assumptions'!$D$17:$F$17,1,D261)</f>
        <v>8030.80327586087</v>
      </c>
      <c r="R261" s="112" t="n">
        <f aca="false">L261*'W Sites'!$M$11</f>
        <v>0</v>
      </c>
      <c r="S261" s="81" t="n">
        <f aca="false">SUM(M261:R261)</f>
        <v>48370.7932758609</v>
      </c>
      <c r="T261" s="81" t="n">
        <f aca="false">L261-S261</f>
        <v>31937.2394827478</v>
      </c>
      <c r="U261" s="81" t="n">
        <f aca="false">IF(C261='W Budget &amp; Owners'!$I$11,'W Budget &amp; Owners'!$F$11*'W Sites'!$G$11,0)</f>
        <v>0</v>
      </c>
      <c r="V261" s="81" t="n">
        <f aca="false">'W Sites'!$G$11*'W Budget &amp; Owners'!$E$11*INDEX('W Assumptions'!$D$27:$F$27,1,D261)*(IF(C261='W Budget &amp; Owners'!$I$11,'W Assumptions'!$D$65,0)+IF(C261=DATE(YEAR('W Sites'!$F$11),MONTH('W Sites'!$F$11),1),1-'W Assumptions'!$D$65,0))+'W Sites'!$G$11*'W Budget &amp; Owners'!$E$11*IF(C261=DATE(2027,9,1),'W Assumptions'!$D$67,IF(C261=DATE(2028,9,1),'W Assumptions'!$D$69,0))</f>
        <v>0</v>
      </c>
      <c r="W261" s="81" t="n">
        <f aca="false">IF(((YEAR(C261)-YEAR('W Sites'!$F$11))*12+MONTH(C261)-MONTH('W Sites'!$F$11))&lt;'W Budget &amp; Owners'!$H$11,'W Budget &amp; Owners'!$E$11/'W Budget &amp; Owners'!$H$11*F261,0)+IF(C261&gt;=DATE(2027,9,1),'W Budget &amp; Owners'!$E$11*'W Assumptions'!$D$67/'W Budget &amp; Owners'!$H$11*F261,0)+IF(C261&gt;=DATE(2028,9,1),'W Budget &amp; Owners'!$E$11*'W Assumptions'!$D$69/'W Budget &amp; Owners'!$H$11*F261,0)</f>
        <v>2625</v>
      </c>
      <c r="X261" s="81" t="n">
        <f aca="false">IF(C261='W Budget &amp; Owners'!$I$11,'W Budget &amp; Owners'!$G$11*'W Sites'!$G$11,0)</f>
        <v>0</v>
      </c>
      <c r="Y261" s="112" t="n">
        <f aca="false">IF(SUM($G$256:$G$265)=0,0,'W Fees &amp; KPI'!$Q$31*G261/SUM($G$256:$G$265))</f>
        <v>4536.55827900866</v>
      </c>
      <c r="Z261" s="119" t="n">
        <f aca="false">IF(SUM($G$256:$G$265)=0,0,SUM('W Fees &amp; KPI'!$J$31,'W Fees &amp; KPI'!$M$31)*G261/SUM($G$256:$G$265))</f>
        <v>5223.75</v>
      </c>
      <c r="AA261" s="117" t="n">
        <f aca="false">T261-U261-Z261-Y261</f>
        <v>22176.9312037392</v>
      </c>
      <c r="AB261" s="119" t="n">
        <f aca="false">IF('W Fees &amp; KPI'!$D$31=0,0,T261-U261-Z261)</f>
        <v>26713.4894827478</v>
      </c>
    </row>
    <row r="262" customFormat="false" ht="21" hidden="false" customHeight="true" outlineLevel="0" collapsed="false">
      <c r="C262" s="144" t="n">
        <f aca="false">47027</f>
        <v>47027</v>
      </c>
      <c r="D262" s="81" t="n">
        <f aca="false">3</f>
        <v>3</v>
      </c>
      <c r="E262" s="81" t="str">
        <f aca="false">'W Sites'!C12</f>
        <v>S07</v>
      </c>
      <c r="F262" s="145" t="n">
        <f aca="false">'W Sites'!$G$12*MAX(0,EOMONTH(C262,0)-MAX(C262,'W Sites'!$F$12)+1)/DAY(EOMONTH(C262,0))</f>
        <v>1</v>
      </c>
      <c r="G262" s="145" t="n">
        <f aca="false">'W Sites'!$G$12*MAX(0,EOMONTH(C262,0)-MAX(C262,'W Sites'!$F$12,'W Assumptions'!$D$58)+1)/DAY(EOMONTH(C262,0))</f>
        <v>1</v>
      </c>
      <c r="H262" s="81" t="n">
        <f aca="false">'W Sites'!$H$12*F262*'W Sites'!$I$12*IF(((YEAR(C262)-YEAR('W Sites'!$F$12))*12+MONTH(C262)-MONTH('W Sites'!$F$12))=0,'W Assumptions'!$D$62,IF(((YEAR(C262)-YEAR('W Sites'!$F$12))*12+MONTH(C262)-MONTH('W Sites'!$F$12))=1,'W Assumptions'!$D$63,1))*INDEX('W Assumptions'!$D$7:$F$7,1,D262)*INDEX('W Assumptions'!$D$32:$F$32,1,D262)*INDEX('W Assumptions'!$D$80:$D$91,MONTH(C262),1)/AVERAGE('W Assumptions'!$D$80:$D$91)</f>
        <v>1135.134</v>
      </c>
      <c r="I262" s="81" t="n">
        <f aca="false">H262*'W Sites'!$J$12/(1+'W Assumptions'!$D$39)*INDEX('W Assumptions'!$D$12:$F$12,1,D262)*INDEX('W Assumptions'!$D$33:$F$33,1,D262)</f>
        <v>62831.1475095652</v>
      </c>
      <c r="J262" s="81" t="n">
        <f aca="false">H262*'W Sites'!$K$12/(1+'W Assumptions'!$D$39)*INDEX('W Assumptions'!$D$12:$F$12,1,D262)*INDEX('W Assumptions'!$D$33:$F$33,1,D262)</f>
        <v>3141.55737547826</v>
      </c>
      <c r="K262" s="81" t="n">
        <f aca="false">'W Sites'!$L$12*F262*IF(((YEAR(C262)-YEAR('W Sites'!$F$12))*12+MONTH(C262)-MONTH('W Sites'!$F$12))=0,'W Assumptions'!$D$62,IF(((YEAR(C262)-YEAR('W Sites'!$F$12))*12+MONTH(C262)-MONTH('W Sites'!$F$12))=1,'W Assumptions'!$D$63,1))*INDEX('W Assumptions'!$D$7:$F$7,1,D262)*INDEX('W Assumptions'!$D$32:$F$32,1,D262)</f>
        <v>21384</v>
      </c>
      <c r="L262" s="81" t="n">
        <f aca="false">SUM(I262:K262)</f>
        <v>87356.7048850435</v>
      </c>
      <c r="M262" s="81" t="n">
        <f aca="false">'W Site Costs'!$I$12*F262*INDEX('W Assumptions'!$D$34:$F$34,1,D262)*INDEX('W Assumptions'!$D$22:$F$22,1,D262)</f>
        <v>26279.19</v>
      </c>
      <c r="N262" s="81" t="n">
        <f aca="false">'W Site Costs'!$J$12*F262*INDEX('W Assumptions'!$D$35:$F$35,1,D262)*INDEX('W Assumptions'!$D$22:$F$22,1,D262)</f>
        <v>8652.8</v>
      </c>
      <c r="O262" s="81" t="n">
        <f aca="false">L262*'W Site Costs'!$K$12</f>
        <v>0</v>
      </c>
      <c r="P262" s="81" t="n">
        <f aca="false">SUM('W Site Costs'!$L$12:$Q$12)*F262*INDEX('W Assumptions'!$D$35:$F$35,1,D262)*INDEX('W Assumptions'!$D$22:$F$22,1,D262)</f>
        <v>9193.6</v>
      </c>
      <c r="Q262" s="81" t="n">
        <f aca="false">L262*'W Site Costs'!$R$12*INDEX('W Assumptions'!$D$17:$F$17,1,D262)</f>
        <v>8735.67048850435</v>
      </c>
      <c r="R262" s="112" t="n">
        <f aca="false">L262*'W Sites'!$M$12</f>
        <v>0</v>
      </c>
      <c r="S262" s="81" t="n">
        <f aca="false">SUM(M262:R262)</f>
        <v>52861.2604885044</v>
      </c>
      <c r="T262" s="81" t="n">
        <f aca="false">L262-S262</f>
        <v>34495.4443965392</v>
      </c>
      <c r="U262" s="81" t="n">
        <f aca="false">IF(C262='W Budget &amp; Owners'!$I$12,'W Budget &amp; Owners'!$F$12*'W Sites'!$G$12,0)</f>
        <v>0</v>
      </c>
      <c r="V262" s="81" t="n">
        <f aca="false">'W Sites'!$G$12*'W Budget &amp; Owners'!$E$12*INDEX('W Assumptions'!$D$27:$F$27,1,D262)*(IF(C262='W Budget &amp; Owners'!$I$12,'W Assumptions'!$D$65,0)+IF(C262=DATE(YEAR('W Sites'!$F$12),MONTH('W Sites'!$F$12),1),1-'W Assumptions'!$D$65,0))+'W Sites'!$G$12*'W Budget &amp; Owners'!$E$12*IF(C262=DATE(2027,9,1),'W Assumptions'!$D$67,IF(C262=DATE(2028,9,1),'W Assumptions'!$D$69,0))</f>
        <v>0</v>
      </c>
      <c r="W262" s="81" t="n">
        <f aca="false">IF(((YEAR(C262)-YEAR('W Sites'!$F$12))*12+MONTH(C262)-MONTH('W Sites'!$F$12))&lt;'W Budget &amp; Owners'!$H$12,'W Budget &amp; Owners'!$E$12/'W Budget &amp; Owners'!$H$12*F262,0)+IF(C262&gt;=DATE(2027,9,1),'W Budget &amp; Owners'!$E$12*'W Assumptions'!$D$67/'W Budget &amp; Owners'!$H$12*F262,0)+IF(C262&gt;=DATE(2028,9,1),'W Budget &amp; Owners'!$E$12*'W Assumptions'!$D$69/'W Budget &amp; Owners'!$H$12*F262,0)</f>
        <v>7875</v>
      </c>
      <c r="X262" s="81" t="n">
        <f aca="false">IF(C262='W Budget &amp; Owners'!$I$12,'W Budget &amp; Owners'!$G$12*'W Sites'!$G$12,0)</f>
        <v>0</v>
      </c>
      <c r="Y262" s="112" t="n">
        <f aca="false">IF(SUM($G$256:$G$265)=0,0,'W Fees &amp; KPI'!$Q$31*G262/SUM($G$256:$G$265))</f>
        <v>4536.55827900866</v>
      </c>
      <c r="Z262" s="119" t="n">
        <f aca="false">IF(SUM($G$256:$G$265)=0,0,SUM('W Fees &amp; KPI'!$J$31,'W Fees &amp; KPI'!$M$31)*G262/SUM($G$256:$G$265))</f>
        <v>5223.75</v>
      </c>
      <c r="AA262" s="117" t="n">
        <f aca="false">T262-U262-Z262-Y262</f>
        <v>24735.1361175305</v>
      </c>
      <c r="AB262" s="119" t="n">
        <f aca="false">IF('W Fees &amp; KPI'!$D$31=0,0,T262-U262-Z262)</f>
        <v>29271.6943965391</v>
      </c>
    </row>
    <row r="263" customFormat="false" ht="21" hidden="false" customHeight="true" outlineLevel="0" collapsed="false">
      <c r="C263" s="144" t="n">
        <f aca="false">47027</f>
        <v>47027</v>
      </c>
      <c r="D263" s="81" t="n">
        <f aca="false">3</f>
        <v>3</v>
      </c>
      <c r="E263" s="81" t="str">
        <f aca="false">'W Sites'!C13</f>
        <v>S08</v>
      </c>
      <c r="F263" s="145" t="n">
        <f aca="false">'W Sites'!$G$13*MAX(0,EOMONTH(C263,0)-MAX(C263,'W Sites'!$F$13)+1)/DAY(EOMONTH(C263,0))</f>
        <v>1</v>
      </c>
      <c r="G263" s="145" t="n">
        <f aca="false">'W Sites'!$G$13*MAX(0,EOMONTH(C263,0)-MAX(C263,'W Sites'!$F$13,'W Assumptions'!$D$58)+1)/DAY(EOMONTH(C263,0))</f>
        <v>1</v>
      </c>
      <c r="H263" s="81" t="n">
        <f aca="false">'W Sites'!$H$13*F263*'W Sites'!$I$13*IF(((YEAR(C263)-YEAR('W Sites'!$F$13))*12+MONTH(C263)-MONTH('W Sites'!$F$13))=0,'W Assumptions'!$D$62,IF(((YEAR(C263)-YEAR('W Sites'!$F$13))*12+MONTH(C263)-MONTH('W Sites'!$F$13))=1,'W Assumptions'!$D$63,1))*INDEX('W Assumptions'!$D$7:$F$7,1,D263)*INDEX('W Assumptions'!$D$32:$F$32,1,D263)*INDEX('W Assumptions'!$D$80:$D$91,MONTH(C263),1)/AVERAGE('W Assumptions'!$D$80:$D$91)</f>
        <v>4864.86</v>
      </c>
      <c r="I263" s="81" t="n">
        <f aca="false">H263*'W Sites'!$J$13/(1+'W Assumptions'!$D$39)*INDEX('W Assumptions'!$D$12:$F$12,1,D263)*INDEX('W Assumptions'!$D$33:$F$33,1,D263)</f>
        <v>179517.564313043</v>
      </c>
      <c r="J263" s="81" t="n">
        <f aca="false">H263*'W Sites'!$K$13/(1+'W Assumptions'!$D$39)*INDEX('W Assumptions'!$D$12:$F$12,1,D263)*INDEX('W Assumptions'!$D$33:$F$33,1,D263)</f>
        <v>22439.6955391304</v>
      </c>
      <c r="K263" s="81" t="n">
        <f aca="false">'W Sites'!$L$13*F263*IF(((YEAR(C263)-YEAR('W Sites'!$F$13))*12+MONTH(C263)-MONTH('W Sites'!$F$13))=0,'W Assumptions'!$D$62,IF(((YEAR(C263)-YEAR('W Sites'!$F$13))*12+MONTH(C263)-MONTH('W Sites'!$F$13))=1,'W Assumptions'!$D$63,1))*INDEX('W Assumptions'!$D$7:$F$7,1,D263)*INDEX('W Assumptions'!$D$32:$F$32,1,D263)</f>
        <v>17820</v>
      </c>
      <c r="L263" s="81" t="n">
        <f aca="false">SUM(I263:K263)</f>
        <v>219777.259852174</v>
      </c>
      <c r="M263" s="81" t="n">
        <f aca="false">'W Site Costs'!$I$13*F263*INDEX('W Assumptions'!$D$34:$F$34,1,D263)*INDEX('W Assumptions'!$D$22:$F$22,1,D263)</f>
        <v>58802.94</v>
      </c>
      <c r="N263" s="81" t="n">
        <f aca="false">'W Site Costs'!$J$13*F263*INDEX('W Assumptions'!$D$35:$F$35,1,D263)*INDEX('W Assumptions'!$D$22:$F$22,1,D263)</f>
        <v>0</v>
      </c>
      <c r="O263" s="81" t="n">
        <f aca="false">L263*'W Site Costs'!$K$13</f>
        <v>21977.7259852174</v>
      </c>
      <c r="P263" s="81" t="n">
        <f aca="false">SUM('W Site Costs'!$L$13:$Q$13)*F263*INDEX('W Assumptions'!$D$35:$F$35,1,D263)*INDEX('W Assumptions'!$D$22:$F$22,1,D263)</f>
        <v>27580.8</v>
      </c>
      <c r="Q263" s="81" t="n">
        <f aca="false">L263*'W Site Costs'!$R$13*INDEX('W Assumptions'!$D$17:$F$17,1,D263)</f>
        <v>17582.1807881739</v>
      </c>
      <c r="R263" s="112" t="n">
        <f aca="false">L263*'W Sites'!$M$13</f>
        <v>0</v>
      </c>
      <c r="S263" s="81" t="n">
        <f aca="false">SUM(M263:R263)</f>
        <v>125943.646773391</v>
      </c>
      <c r="T263" s="81" t="n">
        <f aca="false">L263-S263</f>
        <v>93833.6130787826</v>
      </c>
      <c r="U263" s="81" t="n">
        <f aca="false">IF(C263='W Budget &amp; Owners'!$I$13,'W Budget &amp; Owners'!$F$13*'W Sites'!$G$13,0)</f>
        <v>0</v>
      </c>
      <c r="V263" s="81" t="n">
        <f aca="false">'W Sites'!$G$13*'W Budget &amp; Owners'!$E$13*INDEX('W Assumptions'!$D$27:$F$27,1,D263)*(IF(C263='W Budget &amp; Owners'!$I$13,'W Assumptions'!$D$65,0)+IF(C263=DATE(YEAR('W Sites'!$F$13),MONTH('W Sites'!$F$13),1),1-'W Assumptions'!$D$65,0))+'W Sites'!$G$13*'W Budget &amp; Owners'!$E$13*IF(C263=DATE(2027,9,1),'W Assumptions'!$D$67,IF(C263=DATE(2028,9,1),'W Assumptions'!$D$69,0))</f>
        <v>0</v>
      </c>
      <c r="W263" s="81" t="n">
        <f aca="false">IF(((YEAR(C263)-YEAR('W Sites'!$F$13))*12+MONTH(C263)-MONTH('W Sites'!$F$13))&lt;'W Budget &amp; Owners'!$H$13,'W Budget &amp; Owners'!$E$13/'W Budget &amp; Owners'!$H$13*F263,0)+IF(C263&gt;=DATE(2027,9,1),'W Budget &amp; Owners'!$E$13*'W Assumptions'!$D$67/'W Budget &amp; Owners'!$H$13*F263,0)+IF(C263&gt;=DATE(2028,9,1),'W Budget &amp; Owners'!$E$13*'W Assumptions'!$D$69/'W Budget &amp; Owners'!$H$13*F263,0)</f>
        <v>21000</v>
      </c>
      <c r="X263" s="81" t="n">
        <f aca="false">IF(C263='W Budget &amp; Owners'!$I$13,'W Budget &amp; Owners'!$G$13*'W Sites'!$G$13,0)</f>
        <v>0</v>
      </c>
      <c r="Y263" s="112" t="n">
        <f aca="false">IF(SUM($G$256:$G$265)=0,0,'W Fees &amp; KPI'!$Q$31*G263/SUM($G$256:$G$265))</f>
        <v>4536.55827900866</v>
      </c>
      <c r="Z263" s="119" t="n">
        <f aca="false">IF(SUM($G$256:$G$265)=0,0,SUM('W Fees &amp; KPI'!$J$31,'W Fees &amp; KPI'!$M$31)*G263/SUM($G$256:$G$265))</f>
        <v>5223.75</v>
      </c>
      <c r="AA263" s="117" t="n">
        <f aca="false">T263-U263-Z263-Y263</f>
        <v>84073.3047997739</v>
      </c>
      <c r="AB263" s="119" t="n">
        <f aca="false">IF('W Fees &amp; KPI'!$D$31=0,0,T263-U263-Z263)</f>
        <v>88609.8630787826</v>
      </c>
    </row>
    <row r="264" customFormat="false" ht="21" hidden="false" customHeight="true" outlineLevel="0" collapsed="false">
      <c r="C264" s="144" t="n">
        <f aca="false">47027</f>
        <v>47027</v>
      </c>
      <c r="D264" s="81" t="n">
        <f aca="false">3</f>
        <v>3</v>
      </c>
      <c r="E264" s="81" t="str">
        <f aca="false">'W Sites'!C14</f>
        <v>S09</v>
      </c>
      <c r="F264" s="145" t="n">
        <f aca="false">'W Sites'!$G$14*MAX(0,EOMONTH(C264,0)-MAX(C264,'W Sites'!$F$14)+1)/DAY(EOMONTH(C264,0))</f>
        <v>0</v>
      </c>
      <c r="G264" s="145" t="n">
        <f aca="false">'W Sites'!$G$14*MAX(0,EOMONTH(C264,0)-MAX(C264,'W Sites'!$F$14,'W Assumptions'!$D$58)+1)/DAY(EOMONTH(C264,0))</f>
        <v>0</v>
      </c>
      <c r="H264" s="81" t="n">
        <f aca="false">'W Sites'!$H$14*F264*'W Sites'!$I$14*IF(((YEAR(C264)-YEAR('W Sites'!$F$14))*12+MONTH(C264)-MONTH('W Sites'!$F$14))=0,'W Assumptions'!$D$62,IF(((YEAR(C264)-YEAR('W Sites'!$F$14))*12+MONTH(C264)-MONTH('W Sites'!$F$14))=1,'W Assumptions'!$D$63,1))*INDEX('W Assumptions'!$D$7:$F$7,1,D264)*INDEX('W Assumptions'!$D$32:$F$32,1,D264)*INDEX('W Assumptions'!$D$80:$D$91,MONTH(C264),1)/AVERAGE('W Assumptions'!$D$80:$D$91)</f>
        <v>0</v>
      </c>
      <c r="I264" s="81" t="n">
        <f aca="false">H264*'W Sites'!$J$14/(1+'W Assumptions'!$D$39)*INDEX('W Assumptions'!$D$12:$F$12,1,D264)*INDEX('W Assumptions'!$D$33:$F$33,1,D264)</f>
        <v>0</v>
      </c>
      <c r="J264" s="81" t="n">
        <f aca="false">H264*'W Sites'!$K$14/(1+'W Assumptions'!$D$39)*INDEX('W Assumptions'!$D$12:$F$12,1,D264)*INDEX('W Assumptions'!$D$33:$F$33,1,D264)</f>
        <v>0</v>
      </c>
      <c r="K264" s="81" t="n">
        <f aca="false">'W Sites'!$L$14*F264*IF(((YEAR(C264)-YEAR('W Sites'!$F$14))*12+MONTH(C264)-MONTH('W Sites'!$F$14))=0,'W Assumptions'!$D$62,IF(((YEAR(C264)-YEAR('W Sites'!$F$14))*12+MONTH(C264)-MONTH('W Sites'!$F$14))=1,'W Assumptions'!$D$63,1))*INDEX('W Assumptions'!$D$7:$F$7,1,D264)*INDEX('W Assumptions'!$D$32:$F$32,1,D264)</f>
        <v>0</v>
      </c>
      <c r="L264" s="81" t="n">
        <f aca="false">SUM(I264:K264)</f>
        <v>0</v>
      </c>
      <c r="M264" s="81" t="n">
        <f aca="false">'W Site Costs'!$I$14*F264*INDEX('W Assumptions'!$D$34:$F$34,1,D264)*INDEX('W Assumptions'!$D$22:$F$22,1,D264)</f>
        <v>0</v>
      </c>
      <c r="N264" s="81" t="n">
        <f aca="false">'W Site Costs'!$J$14*F264*INDEX('W Assumptions'!$D$35:$F$35,1,D264)*INDEX('W Assumptions'!$D$22:$F$22,1,D264)</f>
        <v>0</v>
      </c>
      <c r="O264" s="81" t="n">
        <f aca="false">L264*'W Site Costs'!$K$14</f>
        <v>0</v>
      </c>
      <c r="P264" s="81" t="n">
        <f aca="false">SUM('W Site Costs'!$L$14:$Q$14)*F264*INDEX('W Assumptions'!$D$35:$F$35,1,D264)*INDEX('W Assumptions'!$D$22:$F$22,1,D264)</f>
        <v>0</v>
      </c>
      <c r="Q264" s="81" t="n">
        <f aca="false">L264*'W Site Costs'!$R$14*INDEX('W Assumptions'!$D$17:$F$17,1,D264)</f>
        <v>0</v>
      </c>
      <c r="R264" s="112" t="n">
        <f aca="false">L264*'W Sites'!$M$14</f>
        <v>0</v>
      </c>
      <c r="S264" s="81" t="n">
        <f aca="false">SUM(M264:R264)</f>
        <v>0</v>
      </c>
      <c r="T264" s="81" t="n">
        <f aca="false">L264-S264</f>
        <v>0</v>
      </c>
      <c r="U264" s="81" t="n">
        <f aca="false">IF(C264='W Budget &amp; Owners'!$I$14,'W Budget &amp; Owners'!$F$14*'W Sites'!$G$14,0)</f>
        <v>0</v>
      </c>
      <c r="V264" s="81" t="n">
        <f aca="false">'W Sites'!$G$14*'W Budget &amp; Owners'!$E$14*INDEX('W Assumptions'!$D$27:$F$27,1,D264)*(IF(C264='W Budget &amp; Owners'!$I$14,'W Assumptions'!$D$65,0)+IF(C264=DATE(YEAR('W Sites'!$F$14),MONTH('W Sites'!$F$14),1),1-'W Assumptions'!$D$65,0))+'W Sites'!$G$14*'W Budget &amp; Owners'!$E$14*IF(C264=DATE(2027,9,1),'W Assumptions'!$D$67,IF(C264=DATE(2028,9,1),'W Assumptions'!$D$69,0))</f>
        <v>0</v>
      </c>
      <c r="W264" s="81" t="n">
        <f aca="false">IF(((YEAR(C264)-YEAR('W Sites'!$F$14))*12+MONTH(C264)-MONTH('W Sites'!$F$14))&lt;'W Budget &amp; Owners'!$H$14,'W Budget &amp; Owners'!$E$14/'W Budget &amp; Owners'!$H$14*F264,0)+IF(C264&gt;=DATE(2027,9,1),'W Budget &amp; Owners'!$E$14*'W Assumptions'!$D$67/'W Budget &amp; Owners'!$H$14*F264,0)+IF(C264&gt;=DATE(2028,9,1),'W Budget &amp; Owners'!$E$14*'W Assumptions'!$D$69/'W Budget &amp; Owners'!$H$14*F264,0)</f>
        <v>0</v>
      </c>
      <c r="X264" s="81" t="n">
        <f aca="false">IF(C264='W Budget &amp; Owners'!$I$14,'W Budget &amp; Owners'!$G$14*'W Sites'!$G$14,0)</f>
        <v>0</v>
      </c>
      <c r="Y264" s="112" t="n">
        <f aca="false">IF(SUM($G$256:$G$265)=0,0,'W Fees &amp; KPI'!$Q$31*G264/SUM($G$256:$G$265))</f>
        <v>0</v>
      </c>
      <c r="Z264" s="119" t="n">
        <f aca="false">IF(SUM($G$256:$G$265)=0,0,SUM('W Fees &amp; KPI'!$J$31,'W Fees &amp; KPI'!$M$31)*G264/SUM($G$256:$G$265))</f>
        <v>0</v>
      </c>
      <c r="AA264" s="117" t="n">
        <f aca="false">T264-U264-Z264-Y264</f>
        <v>0</v>
      </c>
      <c r="AB264" s="119" t="n">
        <f aca="false">IF('W Fees &amp; KPI'!$D$31=0,0,T264-U264-Z264)</f>
        <v>0</v>
      </c>
    </row>
    <row r="265" customFormat="false" ht="21" hidden="false" customHeight="true" outlineLevel="0" collapsed="false">
      <c r="C265" s="144" t="n">
        <f aca="false">47027</f>
        <v>47027</v>
      </c>
      <c r="D265" s="81" t="n">
        <f aca="false">3</f>
        <v>3</v>
      </c>
      <c r="E265" s="81" t="str">
        <f aca="false">'W Sites'!C15</f>
        <v>S10</v>
      </c>
      <c r="F265" s="145" t="n">
        <f aca="false">'W Sites'!$G$15*MAX(0,EOMONTH(C265,0)-MAX(C265,'W Sites'!$F$15)+1)/DAY(EOMONTH(C265,0))</f>
        <v>0</v>
      </c>
      <c r="G265" s="145" t="n">
        <f aca="false">'W Sites'!$G$15*MAX(0,EOMONTH(C265,0)-MAX(C265,'W Sites'!$F$15,'W Assumptions'!$D$58)+1)/DAY(EOMONTH(C265,0))</f>
        <v>0</v>
      </c>
      <c r="H265" s="81" t="n">
        <f aca="false">'W Sites'!$H$15*F265*'W Sites'!$I$15*IF(((YEAR(C265)-YEAR('W Sites'!$F$15))*12+MONTH(C265)-MONTH('W Sites'!$F$15))=0,'W Assumptions'!$D$62,IF(((YEAR(C265)-YEAR('W Sites'!$F$15))*12+MONTH(C265)-MONTH('W Sites'!$F$15))=1,'W Assumptions'!$D$63,1))*INDEX('W Assumptions'!$D$7:$F$7,1,D265)*INDEX('W Assumptions'!$D$32:$F$32,1,D265)*INDEX('W Assumptions'!$D$80:$D$91,MONTH(C265),1)/AVERAGE('W Assumptions'!$D$80:$D$91)</f>
        <v>0</v>
      </c>
      <c r="I265" s="81" t="n">
        <f aca="false">H265*'W Sites'!$J$15/(1+'W Assumptions'!$D$39)*INDEX('W Assumptions'!$D$12:$F$12,1,D265)*INDEX('W Assumptions'!$D$33:$F$33,1,D265)</f>
        <v>0</v>
      </c>
      <c r="J265" s="81" t="n">
        <f aca="false">H265*'W Sites'!$K$15/(1+'W Assumptions'!$D$39)*INDEX('W Assumptions'!$D$12:$F$12,1,D265)*INDEX('W Assumptions'!$D$33:$F$33,1,D265)</f>
        <v>0</v>
      </c>
      <c r="K265" s="81" t="n">
        <f aca="false">'W Sites'!$L$15*F265*IF(((YEAR(C265)-YEAR('W Sites'!$F$15))*12+MONTH(C265)-MONTH('W Sites'!$F$15))=0,'W Assumptions'!$D$62,IF(((YEAR(C265)-YEAR('W Sites'!$F$15))*12+MONTH(C265)-MONTH('W Sites'!$F$15))=1,'W Assumptions'!$D$63,1))*INDEX('W Assumptions'!$D$7:$F$7,1,D265)*INDEX('W Assumptions'!$D$32:$F$32,1,D265)</f>
        <v>0</v>
      </c>
      <c r="L265" s="81" t="n">
        <f aca="false">SUM(I265:K265)</f>
        <v>0</v>
      </c>
      <c r="M265" s="81" t="n">
        <f aca="false">'W Site Costs'!$I$15*F265*INDEX('W Assumptions'!$D$34:$F$34,1,D265)*INDEX('W Assumptions'!$D$22:$F$22,1,D265)</f>
        <v>0</v>
      </c>
      <c r="N265" s="81" t="n">
        <f aca="false">'W Site Costs'!$J$15*F265*INDEX('W Assumptions'!$D$35:$F$35,1,D265)*INDEX('W Assumptions'!$D$22:$F$22,1,D265)</f>
        <v>0</v>
      </c>
      <c r="O265" s="81" t="n">
        <f aca="false">L265*'W Site Costs'!$K$15</f>
        <v>0</v>
      </c>
      <c r="P265" s="81" t="n">
        <f aca="false">SUM('W Site Costs'!$L$15:$Q$15)*F265*INDEX('W Assumptions'!$D$35:$F$35,1,D265)*INDEX('W Assumptions'!$D$22:$F$22,1,D265)</f>
        <v>0</v>
      </c>
      <c r="Q265" s="81" t="n">
        <f aca="false">L265*'W Site Costs'!$R$15*INDEX('W Assumptions'!$D$17:$F$17,1,D265)</f>
        <v>0</v>
      </c>
      <c r="R265" s="112" t="n">
        <f aca="false">L265*'W Sites'!$M$15</f>
        <v>0</v>
      </c>
      <c r="S265" s="81" t="n">
        <f aca="false">SUM(M265:R265)</f>
        <v>0</v>
      </c>
      <c r="T265" s="81" t="n">
        <f aca="false">L265-S265</f>
        <v>0</v>
      </c>
      <c r="U265" s="81" t="n">
        <f aca="false">IF(C265='W Budget &amp; Owners'!$I$15,'W Budget &amp; Owners'!$F$15*'W Sites'!$G$15,0)</f>
        <v>0</v>
      </c>
      <c r="V265" s="81" t="n">
        <f aca="false">'W Sites'!$G$15*'W Budget &amp; Owners'!$E$15*INDEX('W Assumptions'!$D$27:$F$27,1,D265)*(IF(C265='W Budget &amp; Owners'!$I$15,'W Assumptions'!$D$65,0)+IF(C265=DATE(YEAR('W Sites'!$F$15),MONTH('W Sites'!$F$15),1),1-'W Assumptions'!$D$65,0))+'W Sites'!$G$15*'W Budget &amp; Owners'!$E$15*IF(C265=DATE(2027,9,1),'W Assumptions'!$D$67,IF(C265=DATE(2028,9,1),'W Assumptions'!$D$69,0))</f>
        <v>0</v>
      </c>
      <c r="W265" s="81" t="n">
        <f aca="false">IF(((YEAR(C265)-YEAR('W Sites'!$F$15))*12+MONTH(C265)-MONTH('W Sites'!$F$15))&lt;'W Budget &amp; Owners'!$H$15,'W Budget &amp; Owners'!$E$15/'W Budget &amp; Owners'!$H$15*F265,0)+IF(C265&gt;=DATE(2027,9,1),'W Budget &amp; Owners'!$E$15*'W Assumptions'!$D$67/'W Budget &amp; Owners'!$H$15*F265,0)+IF(C265&gt;=DATE(2028,9,1),'W Budget &amp; Owners'!$E$15*'W Assumptions'!$D$69/'W Budget &amp; Owners'!$H$15*F265,0)</f>
        <v>0</v>
      </c>
      <c r="X265" s="81" t="n">
        <f aca="false">IF(C265='W Budget &amp; Owners'!$I$15,'W Budget &amp; Owners'!$G$15*'W Sites'!$G$15,0)</f>
        <v>0</v>
      </c>
      <c r="Y265" s="112" t="n">
        <f aca="false">IF(SUM($G$256:$G$265)=0,0,'W Fees &amp; KPI'!$Q$31*G265/SUM($G$256:$G$265))</f>
        <v>0</v>
      </c>
      <c r="Z265" s="119" t="n">
        <f aca="false">IF(SUM($G$256:$G$265)=0,0,SUM('W Fees &amp; KPI'!$J$31,'W Fees &amp; KPI'!$M$31)*G265/SUM($G$256:$G$265))</f>
        <v>0</v>
      </c>
      <c r="AA265" s="117" t="n">
        <f aca="false">T265-U265-Z265-Y265</f>
        <v>0</v>
      </c>
      <c r="AB265" s="119" t="n">
        <f aca="false">IF('W Fees &amp; KPI'!$D$31=0,0,T265-U265-Z265)</f>
        <v>0</v>
      </c>
    </row>
    <row r="266" customFormat="false" ht="21" hidden="false" customHeight="true" outlineLevel="0" collapsed="false">
      <c r="C266" s="144" t="n">
        <f aca="false">47058</f>
        <v>47058</v>
      </c>
      <c r="D266" s="81" t="n">
        <f aca="false">3</f>
        <v>3</v>
      </c>
      <c r="E266" s="81" t="str">
        <f aca="false">'W Sites'!C6</f>
        <v>S01</v>
      </c>
      <c r="F266" s="145" t="n">
        <f aca="false">'W Sites'!$G$6*MAX(0,EOMONTH(C266,0)-MAX(C266,'W Sites'!$F$6)+1)/DAY(EOMONTH(C266,0))</f>
        <v>1</v>
      </c>
      <c r="G266" s="145" t="n">
        <f aca="false">'W Sites'!$G$6*MAX(0,EOMONTH(C266,0)-MAX(C266,'W Sites'!$F$6,'W Assumptions'!$D$58)+1)/DAY(EOMONTH(C266,0))</f>
        <v>1</v>
      </c>
      <c r="H266" s="81" t="n">
        <f aca="false">'W Sites'!$D$45*INDEX('W Sites'!$E$65:$E$76,MONTH(C266),1)/SUM('W Sites'!$E$65:$E$76)*F266*(1+'W Sites'!$D$56)^(D266-1)*INDEX('W Assumptions'!$D$7:$F$7,1,D266)</f>
        <v>3950.5776</v>
      </c>
      <c r="I266" s="81" t="n">
        <f aca="false">H266*'W Sites'!$D$46/(1+'W Sites'!$D$54*'W Assumptions'!$D$39)*INDEX('W Assumptions'!$D$12:$F$12,1,D266)</f>
        <v>217281.768</v>
      </c>
      <c r="J266" s="81" t="n">
        <f aca="false">H266*SUM('W Sites'!$D$47:$D$49)/(1+'W Sites'!$D$54*'W Assumptions'!$D$39)*INDEX('W Assumptions'!$D$12:$F$12,1,D266)</f>
        <v>118517.328</v>
      </c>
      <c r="K266" s="81" t="n">
        <f aca="false">SUM('W Sites'!$D$50:$D$52)/12*F266*(1+'W Sites'!$D$56)^(D266-1)*INDEX('W Assumptions'!$D$7:$F$7,1,D266)*INDEX('W Assumptions'!$D$12:$F$12,1,D266)/(1+'W Sites'!$D$54*'W Assumptions'!$D$39)</f>
        <v>37453.3333333333</v>
      </c>
      <c r="L266" s="81" t="n">
        <f aca="false">SUM(I266:K266)</f>
        <v>373252.429333333</v>
      </c>
      <c r="M266" s="81" t="n">
        <f aca="false">('W Site Costs'!$I$6+INDEX('W Sites'!$F$65:$F$76,MONTH(C266),1)*'W Site Costs'!$V$6)*F266*(1+'W Sites'!$D$58)^(D266-1)*INDEX('W Assumptions'!$D$22:$F$22,1,D266)</f>
        <v>117353.6</v>
      </c>
      <c r="N266" s="81" t="n">
        <f aca="false">'W Site Costs'!$J$6*F266*INDEX('W Assumptions'!$D$35:$F$35,1,D266)*INDEX('W Assumptions'!$D$22:$F$22,1,D266)</f>
        <v>16224</v>
      </c>
      <c r="O266" s="81" t="n">
        <f aca="false">L266*'W Site Costs'!$K$6</f>
        <v>0</v>
      </c>
      <c r="P266" s="81" t="n">
        <f aca="false">(SUM('W Site Costs'!$L$6:$Q$6)+INDEX('W Sites'!$F$65:$F$76,MONTH(C266),1)*'W Site Costs'!$W$6)*F266*(1+'W Sites'!$D$58)^(D266-1)*INDEX('W Assumptions'!$D$22:$F$22,1,D266)</f>
        <v>80038.4</v>
      </c>
      <c r="Q266" s="81" t="n">
        <f aca="false">('W Site Costs'!$X$6+INDEX('W Sites'!$F$65:$F$76,MONTH(C266),1)*'W Site Costs'!$Y$6)*F266*(1+'W Sites'!$D$58)^(D266-1)*INDEX('W Assumptions'!$D$17:$F$17,1,D266)</f>
        <v>19468.8</v>
      </c>
      <c r="R266" s="112" t="n">
        <f aca="false">L266*'W Sites'!$M$6</f>
        <v>0</v>
      </c>
      <c r="S266" s="81" t="n">
        <f aca="false">SUM(M266:R266)</f>
        <v>233084.8</v>
      </c>
      <c r="T266" s="81" t="n">
        <f aca="false">L266-S266</f>
        <v>140167.629333333</v>
      </c>
      <c r="U266" s="81" t="n">
        <f aca="false">IF(C266='W Budget &amp; Owners'!$I$6,'W Budget &amp; Owners'!$F$6*'W Sites'!$G$6,0)</f>
        <v>0</v>
      </c>
      <c r="V266" s="81" t="n">
        <f aca="false">'W Sites'!$G$6*'W Budget &amp; Owners'!$E$6*INDEX('W Assumptions'!$D$27:$F$27,1,D266)*(IF(C266='W Budget &amp; Owners'!$I$6,'W Assumptions'!$D$65,0)+IF(C266=DATE(YEAR('W Sites'!$F$6),MONTH('W Sites'!$F$6),1),1-'W Assumptions'!$D$65,0))+'W Sites'!$G$6*'W Budget &amp; Owners'!$E$6*IF(C266=DATE(2027,9,1),'W Assumptions'!$D$67,IF(C266=DATE(2028,9,1),'W Assumptions'!$D$69,0))</f>
        <v>0</v>
      </c>
      <c r="W266" s="81" t="n">
        <f aca="false">IF(((YEAR(C266)-YEAR('W Sites'!$F$6))*12+MONTH(C266)-MONTH('W Sites'!$F$6))&lt;'W Budget &amp; Owners'!$H$6,'W Budget &amp; Owners'!$E$6/'W Budget &amp; Owners'!$H$6*F266,0)+IF(C266&gt;=DATE(2027,9,1),'W Budget &amp; Owners'!$E$6*'W Assumptions'!$D$67/'W Budget &amp; Owners'!$H$6*F266,0)+IF(C266&gt;=DATE(2028,9,1),'W Budget &amp; Owners'!$E$6*'W Assumptions'!$D$69/'W Budget &amp; Owners'!$H$6*F266,0)</f>
        <v>6125</v>
      </c>
      <c r="X266" s="81" t="n">
        <f aca="false">IF(C266='W Budget &amp; Owners'!$I$6,'W Budget &amp; Owners'!$G$6*'W Sites'!$G$6,0)</f>
        <v>0</v>
      </c>
      <c r="Y266" s="112" t="n">
        <f aca="false">IF(SUM($G$266:$G$275)=0,0,'W Fees &amp; KPI'!$Q$32*G266/SUM($G$266:$G$275))</f>
        <v>4109.89072136225</v>
      </c>
      <c r="Z266" s="119" t="n">
        <f aca="false">IF(SUM($G$266:$G$275)=0,0,SUM('W Fees &amp; KPI'!$J$32,'W Fees &amp; KPI'!$M$32)*G266/SUM($G$266:$G$275))</f>
        <v>5223.75</v>
      </c>
      <c r="AA266" s="117" t="n">
        <f aca="false">T266-U266-Z266-Y266</f>
        <v>130833.988611971</v>
      </c>
      <c r="AB266" s="119" t="n">
        <f aca="false">IF('W Fees &amp; KPI'!$D$32=0,0,T266-U266-Z266)</f>
        <v>134943.879333333</v>
      </c>
    </row>
    <row r="267" customFormat="false" ht="21" hidden="false" customHeight="true" outlineLevel="0" collapsed="false">
      <c r="C267" s="144" t="n">
        <f aca="false">47058</f>
        <v>47058</v>
      </c>
      <c r="D267" s="81" t="n">
        <f aca="false">3</f>
        <v>3</v>
      </c>
      <c r="E267" s="81" t="str">
        <f aca="false">'W Sites'!C7</f>
        <v>S02</v>
      </c>
      <c r="F267" s="145" t="n">
        <f aca="false">'W Sites'!$G$7*MAX(0,EOMONTH(C267,0)-MAX(C267,'W Sites'!$F$7)+1)/DAY(EOMONTH(C267,0))</f>
        <v>1</v>
      </c>
      <c r="G267" s="145" t="n">
        <f aca="false">'W Sites'!$G$7*MAX(0,EOMONTH(C267,0)-MAX(C267,'W Sites'!$F$7,'W Assumptions'!$D$58)+1)/DAY(EOMONTH(C267,0))</f>
        <v>1</v>
      </c>
      <c r="H267" s="81" t="n">
        <f aca="false">'W Sites'!$H$7*F267*'W Sites'!$I$7*IF(((YEAR(C267)-YEAR('W Sites'!$F$7))*12+MONTH(C267)-MONTH('W Sites'!$F$7))=0,'W Assumptions'!$D$62,IF(((YEAR(C267)-YEAR('W Sites'!$F$7))*12+MONTH(C267)-MONTH('W Sites'!$F$7))=1,'W Assumptions'!$D$63,1))*INDEX('W Assumptions'!$D$7:$F$7,1,D267)*INDEX('W Assumptions'!$D$32:$F$32,1,D267)*INDEX('W Assumptions'!$D$80:$D$91,MONTH(C267),1)/AVERAGE('W Assumptions'!$D$80:$D$91)</f>
        <v>2744.28</v>
      </c>
      <c r="I267" s="81" t="n">
        <f aca="false">H267*'W Sites'!$J$7/(1+'W Assumptions'!$D$39)*INDEX('W Assumptions'!$D$12:$F$12,1,D267)*INDEX('W Assumptions'!$D$33:$F$33,1,D267)</f>
        <v>88608.0285391304</v>
      </c>
      <c r="J267" s="81" t="n">
        <f aca="false">H267*'W Sites'!$K$7/(1+'W Assumptions'!$D$39)*INDEX('W Assumptions'!$D$12:$F$12,1,D267)*INDEX('W Assumptions'!$D$33:$F$33,1,D267)</f>
        <v>7594.97387478261</v>
      </c>
      <c r="K267" s="81" t="n">
        <f aca="false">'W Sites'!$L$7*F267*IF(((YEAR(C267)-YEAR('W Sites'!$F$7))*12+MONTH(C267)-MONTH('W Sites'!$F$7))=0,'W Assumptions'!$D$62,IF(((YEAR(C267)-YEAR('W Sites'!$F$7))*12+MONTH(C267)-MONTH('W Sites'!$F$7))=1,'W Assumptions'!$D$63,1))*INDEX('W Assumptions'!$D$7:$F$7,1,D267)*INDEX('W Assumptions'!$D$32:$F$32,1,D267)</f>
        <v>5940</v>
      </c>
      <c r="L267" s="81" t="n">
        <f aca="false">SUM(I267:K267)</f>
        <v>102143.002413913</v>
      </c>
      <c r="M267" s="81" t="n">
        <f aca="false">'W Site Costs'!$I$7*F267*INDEX('W Assumptions'!$D$34:$F$34,1,D267)*INDEX('W Assumptions'!$D$22:$F$22,1,D267)</f>
        <v>35776.125</v>
      </c>
      <c r="N267" s="81" t="n">
        <f aca="false">'W Site Costs'!$J$7*F267*INDEX('W Assumptions'!$D$35:$F$35,1,D267)*INDEX('W Assumptions'!$D$22:$F$22,1,D267)</f>
        <v>0</v>
      </c>
      <c r="O267" s="81" t="n">
        <f aca="false">L267*'W Site Costs'!$K$7</f>
        <v>15321.450362087</v>
      </c>
      <c r="P267" s="81" t="n">
        <f aca="false">SUM('W Site Costs'!$L$7:$Q$7)*F267*INDEX('W Assumptions'!$D$35:$F$35,1,D267)*INDEX('W Assumptions'!$D$22:$F$22,1,D267)</f>
        <v>12654.72</v>
      </c>
      <c r="Q267" s="81" t="n">
        <f aca="false">L267*'W Site Costs'!$R$7*INDEX('W Assumptions'!$D$17:$F$17,1,D267)</f>
        <v>6128.58014483478</v>
      </c>
      <c r="R267" s="112" t="n">
        <f aca="false">L267*'W Sites'!$M$7</f>
        <v>0</v>
      </c>
      <c r="S267" s="81" t="n">
        <f aca="false">SUM(M267:R267)</f>
        <v>69880.8755069217</v>
      </c>
      <c r="T267" s="81" t="n">
        <f aca="false">L267-S267</f>
        <v>32262.1269069913</v>
      </c>
      <c r="U267" s="81" t="n">
        <f aca="false">IF(C267='W Budget &amp; Owners'!$I$7,'W Budget &amp; Owners'!$F$7*'W Sites'!$G$7,0)</f>
        <v>0</v>
      </c>
      <c r="V267" s="81" t="n">
        <f aca="false">'W Sites'!$G$7*'W Budget &amp; Owners'!$E$7*INDEX('W Assumptions'!$D$27:$F$27,1,D267)*(IF(C267='W Budget &amp; Owners'!$I$7,'W Assumptions'!$D$65,0)+IF(C267=DATE(YEAR('W Sites'!$F$7),MONTH('W Sites'!$F$7),1),1-'W Assumptions'!$D$65,0))+'W Sites'!$G$7*'W Budget &amp; Owners'!$E$7*IF(C267=DATE(2027,9,1),'W Assumptions'!$D$67,IF(C267=DATE(2028,9,1),'W Assumptions'!$D$69,0))</f>
        <v>0</v>
      </c>
      <c r="W267" s="81" t="n">
        <f aca="false">IF(((YEAR(C267)-YEAR('W Sites'!$F$7))*12+MONTH(C267)-MONTH('W Sites'!$F$7))&lt;'W Budget &amp; Owners'!$H$7,'W Budget &amp; Owners'!$E$7/'W Budget &amp; Owners'!$H$7*F267,0)+IF(C267&gt;=DATE(2027,9,1),'W Budget &amp; Owners'!$E$7*'W Assumptions'!$D$67/'W Budget &amp; Owners'!$H$7*F267,0)+IF(C267&gt;=DATE(2028,9,1),'W Budget &amp; Owners'!$E$7*'W Assumptions'!$D$69/'W Budget &amp; Owners'!$H$7*F267,0)</f>
        <v>1400</v>
      </c>
      <c r="X267" s="81" t="n">
        <f aca="false">IF(C267='W Budget &amp; Owners'!$I$7,'W Budget &amp; Owners'!$G$7*'W Sites'!$G$7,0)</f>
        <v>0</v>
      </c>
      <c r="Y267" s="112" t="n">
        <f aca="false">IF(SUM($G$266:$G$275)=0,0,'W Fees &amp; KPI'!$Q$32*G267/SUM($G$266:$G$275))</f>
        <v>4109.89072136225</v>
      </c>
      <c r="Z267" s="119" t="n">
        <f aca="false">IF(SUM($G$266:$G$275)=0,0,SUM('W Fees &amp; KPI'!$J$32,'W Fees &amp; KPI'!$M$32)*G267/SUM($G$266:$G$275))</f>
        <v>5223.75</v>
      </c>
      <c r="AA267" s="117" t="n">
        <f aca="false">T267-U267-Z267-Y267</f>
        <v>22928.486185629</v>
      </c>
      <c r="AB267" s="119" t="n">
        <f aca="false">IF('W Fees &amp; KPI'!$D$32=0,0,T267-U267-Z267)</f>
        <v>27038.3769069913</v>
      </c>
    </row>
    <row r="268" customFormat="false" ht="21" hidden="false" customHeight="true" outlineLevel="0" collapsed="false">
      <c r="C268" s="144" t="n">
        <f aca="false">47058</f>
        <v>47058</v>
      </c>
      <c r="D268" s="81" t="n">
        <f aca="false">3</f>
        <v>3</v>
      </c>
      <c r="E268" s="81" t="str">
        <f aca="false">'W Sites'!C8</f>
        <v>S03</v>
      </c>
      <c r="F268" s="145" t="n">
        <f aca="false">'W Sites'!$G$8*MAX(0,EOMONTH(C268,0)-MAX(C268,'W Sites'!$F$8)+1)/DAY(EOMONTH(C268,0))</f>
        <v>1</v>
      </c>
      <c r="G268" s="145" t="n">
        <f aca="false">'W Sites'!$G$8*MAX(0,EOMONTH(C268,0)-MAX(C268,'W Sites'!$F$8,'W Assumptions'!$D$58)+1)/DAY(EOMONTH(C268,0))</f>
        <v>1</v>
      </c>
      <c r="H268" s="81" t="n">
        <f aca="false">'W Sites'!$H$8*F268*'W Sites'!$I$8*IF(((YEAR(C268)-YEAR('W Sites'!$F$8))*12+MONTH(C268)-MONTH('W Sites'!$F$8))=0,'W Assumptions'!$D$62,IF(((YEAR(C268)-YEAR('W Sites'!$F$8))*12+MONTH(C268)-MONTH('W Sites'!$F$8))=1,'W Assumptions'!$D$63,1))*INDEX('W Assumptions'!$D$7:$F$7,1,D268)*INDEX('W Assumptions'!$D$32:$F$32,1,D268)*INDEX('W Assumptions'!$D$80:$D$91,MONTH(C268),1)/AVERAGE('W Assumptions'!$D$80:$D$91)</f>
        <v>3705.58356164384</v>
      </c>
      <c r="I268" s="81" t="n">
        <f aca="false">H268*'W Sites'!$J$8/(1+'W Assumptions'!$D$39)*INDEX('W Assumptions'!$D$12:$F$12,1,D268)*INDEX('W Assumptions'!$D$33:$F$33,1,D268)</f>
        <v>222201.290465753</v>
      </c>
      <c r="J268" s="81" t="n">
        <f aca="false">H268*'W Sites'!$K$8/(1+'W Assumptions'!$D$39)*INDEX('W Assumptions'!$D$12:$F$12,1,D268)*INDEX('W Assumptions'!$D$33:$F$33,1,D268)</f>
        <v>27347.8511342466</v>
      </c>
      <c r="K268" s="81" t="n">
        <f aca="false">'W Sites'!$L$8*F268*IF(((YEAR(C268)-YEAR('W Sites'!$F$8))*12+MONTH(C268)-MONTH('W Sites'!$F$8))=0,'W Assumptions'!$D$62,IF(((YEAR(C268)-YEAR('W Sites'!$F$8))*12+MONTH(C268)-MONTH('W Sites'!$F$8))=1,'W Assumptions'!$D$63,1))*INDEX('W Assumptions'!$D$7:$F$7,1,D268)*INDEX('W Assumptions'!$D$32:$F$32,1,D268)</f>
        <v>23760</v>
      </c>
      <c r="L268" s="81" t="n">
        <f aca="false">SUM(I268:K268)</f>
        <v>273309.1416</v>
      </c>
      <c r="M268" s="81" t="n">
        <f aca="false">'W Site Costs'!$I$8*F268*INDEX('W Assumptions'!$D$34:$F$34,1,D268)*INDEX('W Assumptions'!$D$22:$F$22,1,D268)</f>
        <v>52948.665</v>
      </c>
      <c r="N268" s="81" t="n">
        <f aca="false">'W Site Costs'!$J$8*F268*INDEX('W Assumptions'!$D$35:$F$35,1,D268)*INDEX('W Assumptions'!$D$22:$F$22,1,D268)</f>
        <v>37856</v>
      </c>
      <c r="O268" s="81" t="n">
        <f aca="false">L268*'W Site Costs'!$K$8</f>
        <v>0</v>
      </c>
      <c r="P268" s="81" t="n">
        <f aca="false">SUM('W Site Costs'!$L$8:$Q$8)*F268*INDEX('W Assumptions'!$D$35:$F$35,1,D268)*INDEX('W Assumptions'!$D$22:$F$22,1,D268)</f>
        <v>21091.2</v>
      </c>
      <c r="Q268" s="81" t="n">
        <f aca="false">L268*'W Site Costs'!$R$8*INDEX('W Assumptions'!$D$17:$F$17,1,D268)</f>
        <v>21864.731328</v>
      </c>
      <c r="R268" s="112" t="n">
        <f aca="false">L268*'W Sites'!$M$8</f>
        <v>0</v>
      </c>
      <c r="S268" s="81" t="n">
        <f aca="false">SUM(M268:R268)</f>
        <v>133760.596328</v>
      </c>
      <c r="T268" s="81" t="n">
        <f aca="false">L268-S268</f>
        <v>139548.545272</v>
      </c>
      <c r="U268" s="81" t="n">
        <f aca="false">IF(C268='W Budget &amp; Owners'!$I$8,'W Budget &amp; Owners'!$F$8*'W Sites'!$G$8,0)</f>
        <v>0</v>
      </c>
      <c r="V268" s="81" t="n">
        <f aca="false">'W Sites'!$G$8*'W Budget &amp; Owners'!$E$8*INDEX('W Assumptions'!$D$27:$F$27,1,D268)*(IF(C268='W Budget &amp; Owners'!$I$8,'W Assumptions'!$D$65,0)+IF(C268=DATE(YEAR('W Sites'!$F$8),MONTH('W Sites'!$F$8),1),1-'W Assumptions'!$D$65,0))+'W Sites'!$G$8*'W Budget &amp; Owners'!$E$8*IF(C268=DATE(2027,9,1),'W Assumptions'!$D$67,IF(C268=DATE(2028,9,1),'W Assumptions'!$D$69,0))</f>
        <v>0</v>
      </c>
      <c r="W268" s="81" t="n">
        <f aca="false">IF(((YEAR(C268)-YEAR('W Sites'!$F$8))*12+MONTH(C268)-MONTH('W Sites'!$F$8))&lt;'W Budget &amp; Owners'!$H$8,'W Budget &amp; Owners'!$E$8/'W Budget &amp; Owners'!$H$8*F268,0)+IF(C268&gt;=DATE(2027,9,1),'W Budget &amp; Owners'!$E$8*'W Assumptions'!$D$67/'W Budget &amp; Owners'!$H$8*F268,0)+IF(C268&gt;=DATE(2028,9,1),'W Budget &amp; Owners'!$E$8*'W Assumptions'!$D$69/'W Budget &amp; Owners'!$H$8*F268,0)</f>
        <v>10500</v>
      </c>
      <c r="X268" s="81" t="n">
        <f aca="false">IF(C268='W Budget &amp; Owners'!$I$8,'W Budget &amp; Owners'!$G$8*'W Sites'!$G$8,0)</f>
        <v>0</v>
      </c>
      <c r="Y268" s="112" t="n">
        <f aca="false">IF(SUM($G$266:$G$275)=0,0,'W Fees &amp; KPI'!$Q$32*G268/SUM($G$266:$G$275))</f>
        <v>4109.89072136225</v>
      </c>
      <c r="Z268" s="119" t="n">
        <f aca="false">IF(SUM($G$266:$G$275)=0,0,SUM('W Fees &amp; KPI'!$J$32,'W Fees &amp; KPI'!$M$32)*G268/SUM($G$266:$G$275))</f>
        <v>5223.75</v>
      </c>
      <c r="AA268" s="117" t="n">
        <f aca="false">T268-U268-Z268-Y268</f>
        <v>130214.904550638</v>
      </c>
      <c r="AB268" s="119" t="n">
        <f aca="false">IF('W Fees &amp; KPI'!$D$32=0,0,T268-U268-Z268)</f>
        <v>134324.795272</v>
      </c>
    </row>
    <row r="269" customFormat="false" ht="21" hidden="false" customHeight="true" outlineLevel="0" collapsed="false">
      <c r="C269" s="144" t="n">
        <f aca="false">47058</f>
        <v>47058</v>
      </c>
      <c r="D269" s="81" t="n">
        <f aca="false">3</f>
        <v>3</v>
      </c>
      <c r="E269" s="81" t="str">
        <f aca="false">'W Sites'!C9</f>
        <v>S04</v>
      </c>
      <c r="F269" s="145" t="n">
        <f aca="false">'W Sites'!$G$9*MAX(0,EOMONTH(C269,0)-MAX(C269,'W Sites'!$F$9)+1)/DAY(EOMONTH(C269,0))</f>
        <v>1</v>
      </c>
      <c r="G269" s="145" t="n">
        <f aca="false">'W Sites'!$G$9*MAX(0,EOMONTH(C269,0)-MAX(C269,'W Sites'!$F$9,'W Assumptions'!$D$58)+1)/DAY(EOMONTH(C269,0))</f>
        <v>1</v>
      </c>
      <c r="H269" s="81" t="n">
        <f aca="false">'W Sites'!$H$9*F269*'W Sites'!$I$9*IF(((YEAR(C269)-YEAR('W Sites'!$F$9))*12+MONTH(C269)-MONTH('W Sites'!$F$9))=0,'W Assumptions'!$D$62,IF(((YEAR(C269)-YEAR('W Sites'!$F$9))*12+MONTH(C269)-MONTH('W Sites'!$F$9))=1,'W Assumptions'!$D$63,1))*INDEX('W Assumptions'!$D$7:$F$7,1,D269)*INDEX('W Assumptions'!$D$32:$F$32,1,D269)*INDEX('W Assumptions'!$D$80:$D$91,MONTH(C269),1)/AVERAGE('W Assumptions'!$D$80:$D$91)</f>
        <v>2609.0625</v>
      </c>
      <c r="I269" s="81" t="n">
        <f aca="false">H269*'W Sites'!$J$9/(1+'W Assumptions'!$D$39)*INDEX('W Assumptions'!$D$12:$F$12,1,D269)*INDEX('W Assumptions'!$D$33:$F$33,1,D269)</f>
        <v>156449.596875</v>
      </c>
      <c r="J269" s="81" t="n">
        <f aca="false">H269*'W Sites'!$K$9/(1+'W Assumptions'!$D$39)*INDEX('W Assumptions'!$D$12:$F$12,1,D269)*INDEX('W Assumptions'!$D$33:$F$33,1,D269)</f>
        <v>16848.418125</v>
      </c>
      <c r="K269" s="81" t="n">
        <f aca="false">'W Sites'!$L$9*F269*IF(((YEAR(C269)-YEAR('W Sites'!$F$9))*12+MONTH(C269)-MONTH('W Sites'!$F$9))=0,'W Assumptions'!$D$62,IF(((YEAR(C269)-YEAR('W Sites'!$F$9))*12+MONTH(C269)-MONTH('W Sites'!$F$9))=1,'W Assumptions'!$D$63,1))*INDEX('W Assumptions'!$D$7:$F$7,1,D269)*INDEX('W Assumptions'!$D$32:$F$32,1,D269)</f>
        <v>17820</v>
      </c>
      <c r="L269" s="81" t="n">
        <f aca="false">SUM(I269:K269)</f>
        <v>191118.015</v>
      </c>
      <c r="M269" s="81" t="n">
        <f aca="false">'W Site Costs'!$I$9*F269*INDEX('W Assumptions'!$D$34:$F$34,1,D269)*INDEX('W Assumptions'!$D$22:$F$22,1,D269)</f>
        <v>41630.4</v>
      </c>
      <c r="N269" s="81" t="n">
        <f aca="false">'W Site Costs'!$J$9*F269*INDEX('W Assumptions'!$D$35:$F$35,1,D269)*INDEX('W Assumptions'!$D$22:$F$22,1,D269)</f>
        <v>23795.2</v>
      </c>
      <c r="O269" s="81" t="n">
        <f aca="false">L269*'W Site Costs'!$K$9</f>
        <v>0</v>
      </c>
      <c r="P269" s="81" t="n">
        <f aca="false">SUM('W Site Costs'!$L$9:$Q$9)*F269*INDEX('W Assumptions'!$D$35:$F$35,1,D269)*INDEX('W Assumptions'!$D$22:$F$22,1,D269)</f>
        <v>16764.8</v>
      </c>
      <c r="Q269" s="81" t="n">
        <f aca="false">L269*'W Site Costs'!$R$9*INDEX('W Assumptions'!$D$17:$F$17,1,D269)</f>
        <v>15289.4412</v>
      </c>
      <c r="R269" s="112" t="n">
        <f aca="false">L269*'W Sites'!$M$9</f>
        <v>0</v>
      </c>
      <c r="S269" s="81" t="n">
        <f aca="false">SUM(M269:R269)</f>
        <v>97479.8412</v>
      </c>
      <c r="T269" s="81" t="n">
        <f aca="false">L269-S269</f>
        <v>93638.1738</v>
      </c>
      <c r="U269" s="81" t="n">
        <f aca="false">IF(C269='W Budget &amp; Owners'!$I$9,'W Budget &amp; Owners'!$F$9*'W Sites'!$G$9,0)</f>
        <v>0</v>
      </c>
      <c r="V269" s="81" t="n">
        <f aca="false">'W Sites'!$G$9*'W Budget &amp; Owners'!$E$9*INDEX('W Assumptions'!$D$27:$F$27,1,D269)*(IF(C269='W Budget &amp; Owners'!$I$9,'W Assumptions'!$D$65,0)+IF(C269=DATE(YEAR('W Sites'!$F$9),MONTH('W Sites'!$F$9),1),1-'W Assumptions'!$D$65,0))+'W Sites'!$G$9*'W Budget &amp; Owners'!$E$9*IF(C269=DATE(2027,9,1),'W Assumptions'!$D$67,IF(C269=DATE(2028,9,1),'W Assumptions'!$D$69,0))</f>
        <v>0</v>
      </c>
      <c r="W269" s="81" t="n">
        <f aca="false">IF(((YEAR(C269)-YEAR('W Sites'!$F$9))*12+MONTH(C269)-MONTH('W Sites'!$F$9))&lt;'W Budget &amp; Owners'!$H$9,'W Budget &amp; Owners'!$E$9/'W Budget &amp; Owners'!$H$9*F269,0)+IF(C269&gt;=DATE(2027,9,1),'W Budget &amp; Owners'!$E$9*'W Assumptions'!$D$67/'W Budget &amp; Owners'!$H$9*F269,0)+IF(C269&gt;=DATE(2028,9,1),'W Budget &amp; Owners'!$E$9*'W Assumptions'!$D$69/'W Budget &amp; Owners'!$H$9*F269,0)</f>
        <v>8750</v>
      </c>
      <c r="X269" s="81" t="n">
        <f aca="false">IF(C269='W Budget &amp; Owners'!$I$9,'W Budget &amp; Owners'!$G$9*'W Sites'!$G$9,0)</f>
        <v>0</v>
      </c>
      <c r="Y269" s="112" t="n">
        <f aca="false">IF(SUM($G$266:$G$275)=0,0,'W Fees &amp; KPI'!$Q$32*G269/SUM($G$266:$G$275))</f>
        <v>4109.89072136225</v>
      </c>
      <c r="Z269" s="119" t="n">
        <f aca="false">IF(SUM($G$266:$G$275)=0,0,SUM('W Fees &amp; KPI'!$J$32,'W Fees &amp; KPI'!$M$32)*G269/SUM($G$266:$G$275))</f>
        <v>5223.75</v>
      </c>
      <c r="AA269" s="117" t="n">
        <f aca="false">T269-U269-Z269-Y269</f>
        <v>84304.5330786378</v>
      </c>
      <c r="AB269" s="119" t="n">
        <f aca="false">IF('W Fees &amp; KPI'!$D$32=0,0,T269-U269-Z269)</f>
        <v>88414.4238</v>
      </c>
    </row>
    <row r="270" customFormat="false" ht="21" hidden="false" customHeight="true" outlineLevel="0" collapsed="false">
      <c r="C270" s="144" t="n">
        <f aca="false">47058</f>
        <v>47058</v>
      </c>
      <c r="D270" s="81" t="n">
        <f aca="false">3</f>
        <v>3</v>
      </c>
      <c r="E270" s="81" t="str">
        <f aca="false">'W Sites'!C10</f>
        <v>S05</v>
      </c>
      <c r="F270" s="145" t="n">
        <f aca="false">'W Sites'!$G$10*MAX(0,EOMONTH(C270,0)-MAX(C270,'W Sites'!$F$10)+1)/DAY(EOMONTH(C270,0))</f>
        <v>1</v>
      </c>
      <c r="G270" s="145" t="n">
        <f aca="false">'W Sites'!$G$10*MAX(0,EOMONTH(C270,0)-MAX(C270,'W Sites'!$F$10,'W Assumptions'!$D$58)+1)/DAY(EOMONTH(C270,0))</f>
        <v>1</v>
      </c>
      <c r="H270" s="81" t="n">
        <f aca="false">'W Sites'!$H$10*F270*'W Sites'!$I$10*IF(((YEAR(C270)-YEAR('W Sites'!$F$10))*12+MONTH(C270)-MONTH('W Sites'!$F$10))=0,'W Assumptions'!$D$62,IF(((YEAR(C270)-YEAR('W Sites'!$F$10))*12+MONTH(C270)-MONTH('W Sites'!$F$10))=1,'W Assumptions'!$D$63,1))*INDEX('W Assumptions'!$D$7:$F$7,1,D270)*INDEX('W Assumptions'!$D$32:$F$32,1,D270)*INDEX('W Assumptions'!$D$80:$D$91,MONTH(C270),1)/AVERAGE('W Assumptions'!$D$80:$D$91)</f>
        <v>3335.02520547945</v>
      </c>
      <c r="I270" s="81" t="n">
        <f aca="false">H270*'W Sites'!$J$10/(1+'W Assumptions'!$D$39)*INDEX('W Assumptions'!$D$12:$F$12,1,D270)*INDEX('W Assumptions'!$D$33:$F$33,1,D270)</f>
        <v>199981.161419178</v>
      </c>
      <c r="J270" s="81" t="n">
        <f aca="false">H270*'W Sites'!$K$10/(1+'W Assumptions'!$D$39)*INDEX('W Assumptions'!$D$12:$F$12,1,D270)*INDEX('W Assumptions'!$D$33:$F$33,1,D270)</f>
        <v>24613.0660208219</v>
      </c>
      <c r="K270" s="81" t="n">
        <f aca="false">'W Sites'!$L$10*F270*IF(((YEAR(C270)-YEAR('W Sites'!$F$10))*12+MONTH(C270)-MONTH('W Sites'!$F$10))=0,'W Assumptions'!$D$62,IF(((YEAR(C270)-YEAR('W Sites'!$F$10))*12+MONTH(C270)-MONTH('W Sites'!$F$10))=1,'W Assumptions'!$D$63,1))*INDEX('W Assumptions'!$D$7:$F$7,1,D270)*INDEX('W Assumptions'!$D$32:$F$32,1,D270)</f>
        <v>21384</v>
      </c>
      <c r="L270" s="81" t="n">
        <f aca="false">SUM(I270:K270)</f>
        <v>245978.22744</v>
      </c>
      <c r="M270" s="81" t="n">
        <f aca="false">'W Site Costs'!$I$10*F270*INDEX('W Assumptions'!$D$34:$F$34,1,D270)*INDEX('W Assumptions'!$D$22:$F$22,1,D270)</f>
        <v>52948.665</v>
      </c>
      <c r="N270" s="81" t="n">
        <f aca="false">'W Site Costs'!$J$10*F270*INDEX('W Assumptions'!$D$35:$F$35,1,D270)*INDEX('W Assumptions'!$D$22:$F$22,1,D270)</f>
        <v>32448</v>
      </c>
      <c r="O270" s="81" t="n">
        <f aca="false">L270*'W Site Costs'!$K$10</f>
        <v>0</v>
      </c>
      <c r="P270" s="81" t="n">
        <f aca="false">SUM('W Site Costs'!$L$10:$Q$10)*F270*INDEX('W Assumptions'!$D$35:$F$35,1,D270)*INDEX('W Assumptions'!$D$22:$F$22,1,D270)</f>
        <v>20550.4</v>
      </c>
      <c r="Q270" s="81" t="n">
        <f aca="false">L270*'W Site Costs'!$R$10*INDEX('W Assumptions'!$D$17:$F$17,1,D270)</f>
        <v>19678.2581952</v>
      </c>
      <c r="R270" s="112" t="n">
        <f aca="false">L270*'W Sites'!$M$10</f>
        <v>0</v>
      </c>
      <c r="S270" s="81" t="n">
        <f aca="false">SUM(M270:R270)</f>
        <v>125625.3231952</v>
      </c>
      <c r="T270" s="81" t="n">
        <f aca="false">L270-S270</f>
        <v>120352.9042448</v>
      </c>
      <c r="U270" s="81" t="n">
        <f aca="false">IF(C270='W Budget &amp; Owners'!$I$10,'W Budget &amp; Owners'!$F$10*'W Sites'!$G$10,0)</f>
        <v>0</v>
      </c>
      <c r="V270" s="81" t="n">
        <f aca="false">'W Sites'!$G$10*'W Budget &amp; Owners'!$E$10*INDEX('W Assumptions'!$D$27:$F$27,1,D270)*(IF(C270='W Budget &amp; Owners'!$I$10,'W Assumptions'!$D$65,0)+IF(C270=DATE(YEAR('W Sites'!$F$10),MONTH('W Sites'!$F$10),1),1-'W Assumptions'!$D$65,0))+'W Sites'!$G$10*'W Budget &amp; Owners'!$E$10*IF(C270=DATE(2027,9,1),'W Assumptions'!$D$67,IF(C270=DATE(2028,9,1),'W Assumptions'!$D$69,0))</f>
        <v>0</v>
      </c>
      <c r="W270" s="81" t="n">
        <f aca="false">IF(((YEAR(C270)-YEAR('W Sites'!$F$10))*12+MONTH(C270)-MONTH('W Sites'!$F$10))&lt;'W Budget &amp; Owners'!$H$10,'W Budget &amp; Owners'!$E$10/'W Budget &amp; Owners'!$H$10*F270,0)+IF(C270&gt;=DATE(2027,9,1),'W Budget &amp; Owners'!$E$10*'W Assumptions'!$D$67/'W Budget &amp; Owners'!$H$10*F270,0)+IF(C270&gt;=DATE(2028,9,1),'W Budget &amp; Owners'!$E$10*'W Assumptions'!$D$69/'W Budget &amp; Owners'!$H$10*F270,0)</f>
        <v>13125</v>
      </c>
      <c r="X270" s="81" t="n">
        <f aca="false">IF(C270='W Budget &amp; Owners'!$I$10,'W Budget &amp; Owners'!$G$10*'W Sites'!$G$10,0)</f>
        <v>0</v>
      </c>
      <c r="Y270" s="112" t="n">
        <f aca="false">IF(SUM($G$266:$G$275)=0,0,'W Fees &amp; KPI'!$Q$32*G270/SUM($G$266:$G$275))</f>
        <v>4109.89072136225</v>
      </c>
      <c r="Z270" s="119" t="n">
        <f aca="false">IF(SUM($G$266:$G$275)=0,0,SUM('W Fees &amp; KPI'!$J$32,'W Fees &amp; KPI'!$M$32)*G270/SUM($G$266:$G$275))</f>
        <v>5223.75</v>
      </c>
      <c r="AA270" s="117" t="n">
        <f aca="false">T270-U270-Z270-Y270</f>
        <v>111019.263523438</v>
      </c>
      <c r="AB270" s="119" t="n">
        <f aca="false">IF('W Fees &amp; KPI'!$D$32=0,0,T270-U270-Z270)</f>
        <v>115129.1542448</v>
      </c>
    </row>
    <row r="271" customFormat="false" ht="21" hidden="false" customHeight="true" outlineLevel="0" collapsed="false">
      <c r="C271" s="144" t="n">
        <f aca="false">47058</f>
        <v>47058</v>
      </c>
      <c r="D271" s="81" t="n">
        <f aca="false">3</f>
        <v>3</v>
      </c>
      <c r="E271" s="81" t="str">
        <f aca="false">'W Sites'!C11</f>
        <v>S06</v>
      </c>
      <c r="F271" s="145" t="n">
        <f aca="false">'W Sites'!$G$11*MAX(0,EOMONTH(C271,0)-MAX(C271,'W Sites'!$F$11)+1)/DAY(EOMONTH(C271,0))</f>
        <v>1</v>
      </c>
      <c r="G271" s="145" t="n">
        <f aca="false">'W Sites'!$G$11*MAX(0,EOMONTH(C271,0)-MAX(C271,'W Sites'!$F$11,'W Assumptions'!$D$58)+1)/DAY(EOMONTH(C271,0))</f>
        <v>1</v>
      </c>
      <c r="H271" s="81" t="n">
        <f aca="false">'W Sites'!$H$11*F271*'W Sites'!$I$11*IF(((YEAR(C271)-YEAR('W Sites'!$F$11))*12+MONTH(C271)-MONTH('W Sites'!$F$11))=0,'W Assumptions'!$D$62,IF(((YEAR(C271)-YEAR('W Sites'!$F$11))*12+MONTH(C271)-MONTH('W Sites'!$F$11))=1,'W Assumptions'!$D$63,1))*INDEX('W Assumptions'!$D$7:$F$7,1,D271)*INDEX('W Assumptions'!$D$32:$F$32,1,D271)*INDEX('W Assumptions'!$D$80:$D$91,MONTH(C271),1)/AVERAGE('W Assumptions'!$D$80:$D$91)</f>
        <v>1019.304</v>
      </c>
      <c r="I271" s="81" t="n">
        <f aca="false">H271*'W Sites'!$J$11/(1+'W Assumptions'!$D$39)*INDEX('W Assumptions'!$D$12:$F$12,1,D271)*INDEX('W Assumptions'!$D$33:$F$33,1,D271)</f>
        <v>56419.8059269565</v>
      </c>
      <c r="J271" s="81" t="n">
        <f aca="false">H271*'W Sites'!$K$11/(1+'W Assumptions'!$D$39)*INDEX('W Assumptions'!$D$12:$F$12,1,D271)*INDEX('W Assumptions'!$D$33:$F$33,1,D271)</f>
        <v>2820.99029634783</v>
      </c>
      <c r="K271" s="81" t="n">
        <f aca="false">'W Sites'!$L$11*F271*IF(((YEAR(C271)-YEAR('W Sites'!$F$11))*12+MONTH(C271)-MONTH('W Sites'!$F$11))=0,'W Assumptions'!$D$62,IF(((YEAR(C271)-YEAR('W Sites'!$F$11))*12+MONTH(C271)-MONTH('W Sites'!$F$11))=1,'W Assumptions'!$D$63,1))*INDEX('W Assumptions'!$D$7:$F$7,1,D271)*INDEX('W Assumptions'!$D$32:$F$32,1,D271)</f>
        <v>23760</v>
      </c>
      <c r="L271" s="81" t="n">
        <f aca="false">SUM(I271:K271)</f>
        <v>83000.7962233044</v>
      </c>
      <c r="M271" s="81" t="n">
        <f aca="false">'W Site Costs'!$I$11*F271*INDEX('W Assumptions'!$D$34:$F$34,1,D271)*INDEX('W Assumptions'!$D$22:$F$22,1,D271)</f>
        <v>26279.19</v>
      </c>
      <c r="N271" s="81" t="n">
        <f aca="false">'W Site Costs'!$J$11*F271*INDEX('W Assumptions'!$D$35:$F$35,1,D271)*INDEX('W Assumptions'!$D$22:$F$22,1,D271)</f>
        <v>5408</v>
      </c>
      <c r="O271" s="81" t="n">
        <f aca="false">L271*'W Site Costs'!$K$11</f>
        <v>0</v>
      </c>
      <c r="P271" s="81" t="n">
        <f aca="false">SUM('W Site Costs'!$L$11:$Q$11)*F271*INDEX('W Assumptions'!$D$35:$F$35,1,D271)*INDEX('W Assumptions'!$D$22:$F$22,1,D271)</f>
        <v>8652.8</v>
      </c>
      <c r="Q271" s="81" t="n">
        <f aca="false">L271*'W Site Costs'!$R$11*INDEX('W Assumptions'!$D$17:$F$17,1,D271)</f>
        <v>8300.07962233044</v>
      </c>
      <c r="R271" s="112" t="n">
        <f aca="false">L271*'W Sites'!$M$11</f>
        <v>0</v>
      </c>
      <c r="S271" s="81" t="n">
        <f aca="false">SUM(M271:R271)</f>
        <v>48640.0696223304</v>
      </c>
      <c r="T271" s="81" t="n">
        <f aca="false">L271-S271</f>
        <v>34360.7266009739</v>
      </c>
      <c r="U271" s="81" t="n">
        <f aca="false">IF(C271='W Budget &amp; Owners'!$I$11,'W Budget &amp; Owners'!$F$11*'W Sites'!$G$11,0)</f>
        <v>0</v>
      </c>
      <c r="V271" s="81" t="n">
        <f aca="false">'W Sites'!$G$11*'W Budget &amp; Owners'!$E$11*INDEX('W Assumptions'!$D$27:$F$27,1,D271)*(IF(C271='W Budget &amp; Owners'!$I$11,'W Assumptions'!$D$65,0)+IF(C271=DATE(YEAR('W Sites'!$F$11),MONTH('W Sites'!$F$11),1),1-'W Assumptions'!$D$65,0))+'W Sites'!$G$11*'W Budget &amp; Owners'!$E$11*IF(C271=DATE(2027,9,1),'W Assumptions'!$D$67,IF(C271=DATE(2028,9,1),'W Assumptions'!$D$69,0))</f>
        <v>0</v>
      </c>
      <c r="W271" s="81" t="n">
        <f aca="false">IF(((YEAR(C271)-YEAR('W Sites'!$F$11))*12+MONTH(C271)-MONTH('W Sites'!$F$11))&lt;'W Budget &amp; Owners'!$H$11,'W Budget &amp; Owners'!$E$11/'W Budget &amp; Owners'!$H$11*F271,0)+IF(C271&gt;=DATE(2027,9,1),'W Budget &amp; Owners'!$E$11*'W Assumptions'!$D$67/'W Budget &amp; Owners'!$H$11*F271,0)+IF(C271&gt;=DATE(2028,9,1),'W Budget &amp; Owners'!$E$11*'W Assumptions'!$D$69/'W Budget &amp; Owners'!$H$11*F271,0)</f>
        <v>2625</v>
      </c>
      <c r="X271" s="81" t="n">
        <f aca="false">IF(C271='W Budget &amp; Owners'!$I$11,'W Budget &amp; Owners'!$G$11*'W Sites'!$G$11,0)</f>
        <v>0</v>
      </c>
      <c r="Y271" s="112" t="n">
        <f aca="false">IF(SUM($G$266:$G$275)=0,0,'W Fees &amp; KPI'!$Q$32*G271/SUM($G$266:$G$275))</f>
        <v>4109.89072136225</v>
      </c>
      <c r="Z271" s="119" t="n">
        <f aca="false">IF(SUM($G$266:$G$275)=0,0,SUM('W Fees &amp; KPI'!$J$32,'W Fees &amp; KPI'!$M$32)*G271/SUM($G$266:$G$275))</f>
        <v>5223.75</v>
      </c>
      <c r="AA271" s="117" t="n">
        <f aca="false">T271-U271-Z271-Y271</f>
        <v>25027.0858796117</v>
      </c>
      <c r="AB271" s="119" t="n">
        <f aca="false">IF('W Fees &amp; KPI'!$D$32=0,0,T271-U271-Z271)</f>
        <v>29136.9766009739</v>
      </c>
    </row>
    <row r="272" customFormat="false" ht="21" hidden="false" customHeight="true" outlineLevel="0" collapsed="false">
      <c r="C272" s="144" t="n">
        <f aca="false">47058</f>
        <v>47058</v>
      </c>
      <c r="D272" s="81" t="n">
        <f aca="false">3</f>
        <v>3</v>
      </c>
      <c r="E272" s="81" t="str">
        <f aca="false">'W Sites'!C12</f>
        <v>S07</v>
      </c>
      <c r="F272" s="145" t="n">
        <f aca="false">'W Sites'!$G$12*MAX(0,EOMONTH(C272,0)-MAX(C272,'W Sites'!$F$12)+1)/DAY(EOMONTH(C272,0))</f>
        <v>1</v>
      </c>
      <c r="G272" s="145" t="n">
        <f aca="false">'W Sites'!$G$12*MAX(0,EOMONTH(C272,0)-MAX(C272,'W Sites'!$F$12,'W Assumptions'!$D$58)+1)/DAY(EOMONTH(C272,0))</f>
        <v>1</v>
      </c>
      <c r="H272" s="81" t="n">
        <f aca="false">'W Sites'!$H$12*F272*'W Sites'!$I$12*IF(((YEAR(C272)-YEAR('W Sites'!$F$12))*12+MONTH(C272)-MONTH('W Sites'!$F$12))=0,'W Assumptions'!$D$62,IF(((YEAR(C272)-YEAR('W Sites'!$F$12))*12+MONTH(C272)-MONTH('W Sites'!$F$12))=1,'W Assumptions'!$D$63,1))*INDEX('W Assumptions'!$D$7:$F$7,1,D272)*INDEX('W Assumptions'!$D$32:$F$32,1,D272)*INDEX('W Assumptions'!$D$80:$D$91,MONTH(C272),1)/AVERAGE('W Assumptions'!$D$80:$D$91)</f>
        <v>1189.188</v>
      </c>
      <c r="I272" s="81" t="n">
        <f aca="false">H272*'W Sites'!$J$12/(1+'W Assumptions'!$D$39)*INDEX('W Assumptions'!$D$12:$F$12,1,D272)*INDEX('W Assumptions'!$D$33:$F$33,1,D272)</f>
        <v>65823.1069147826</v>
      </c>
      <c r="J272" s="81" t="n">
        <f aca="false">H272*'W Sites'!$K$12/(1+'W Assumptions'!$D$39)*INDEX('W Assumptions'!$D$12:$F$12,1,D272)*INDEX('W Assumptions'!$D$33:$F$33,1,D272)</f>
        <v>3291.15534573913</v>
      </c>
      <c r="K272" s="81" t="n">
        <f aca="false">'W Sites'!$L$12*F272*IF(((YEAR(C272)-YEAR('W Sites'!$F$12))*12+MONTH(C272)-MONTH('W Sites'!$F$12))=0,'W Assumptions'!$D$62,IF(((YEAR(C272)-YEAR('W Sites'!$F$12))*12+MONTH(C272)-MONTH('W Sites'!$F$12))=1,'W Assumptions'!$D$63,1))*INDEX('W Assumptions'!$D$7:$F$7,1,D272)*INDEX('W Assumptions'!$D$32:$F$32,1,D272)</f>
        <v>21384</v>
      </c>
      <c r="L272" s="81" t="n">
        <f aca="false">SUM(I272:K272)</f>
        <v>90498.2622605217</v>
      </c>
      <c r="M272" s="81" t="n">
        <f aca="false">'W Site Costs'!$I$12*F272*INDEX('W Assumptions'!$D$34:$F$34,1,D272)*INDEX('W Assumptions'!$D$22:$F$22,1,D272)</f>
        <v>26279.19</v>
      </c>
      <c r="N272" s="81" t="n">
        <f aca="false">'W Site Costs'!$J$12*F272*INDEX('W Assumptions'!$D$35:$F$35,1,D272)*INDEX('W Assumptions'!$D$22:$F$22,1,D272)</f>
        <v>8652.8</v>
      </c>
      <c r="O272" s="81" t="n">
        <f aca="false">L272*'W Site Costs'!$K$12</f>
        <v>0</v>
      </c>
      <c r="P272" s="81" t="n">
        <f aca="false">SUM('W Site Costs'!$L$12:$Q$12)*F272*INDEX('W Assumptions'!$D$35:$F$35,1,D272)*INDEX('W Assumptions'!$D$22:$F$22,1,D272)</f>
        <v>9193.6</v>
      </c>
      <c r="Q272" s="81" t="n">
        <f aca="false">L272*'W Site Costs'!$R$12*INDEX('W Assumptions'!$D$17:$F$17,1,D272)</f>
        <v>9049.82622605217</v>
      </c>
      <c r="R272" s="112" t="n">
        <f aca="false">L272*'W Sites'!$M$12</f>
        <v>0</v>
      </c>
      <c r="S272" s="81" t="n">
        <f aca="false">SUM(M272:R272)</f>
        <v>53175.4162260522</v>
      </c>
      <c r="T272" s="81" t="n">
        <f aca="false">L272-S272</f>
        <v>37322.8460344696</v>
      </c>
      <c r="U272" s="81" t="n">
        <f aca="false">IF(C272='W Budget &amp; Owners'!$I$12,'W Budget &amp; Owners'!$F$12*'W Sites'!$G$12,0)</f>
        <v>0</v>
      </c>
      <c r="V272" s="81" t="n">
        <f aca="false">'W Sites'!$G$12*'W Budget &amp; Owners'!$E$12*INDEX('W Assumptions'!$D$27:$F$27,1,D272)*(IF(C272='W Budget &amp; Owners'!$I$12,'W Assumptions'!$D$65,0)+IF(C272=DATE(YEAR('W Sites'!$F$12),MONTH('W Sites'!$F$12),1),1-'W Assumptions'!$D$65,0))+'W Sites'!$G$12*'W Budget &amp; Owners'!$E$12*IF(C272=DATE(2027,9,1),'W Assumptions'!$D$67,IF(C272=DATE(2028,9,1),'W Assumptions'!$D$69,0))</f>
        <v>0</v>
      </c>
      <c r="W272" s="81" t="n">
        <f aca="false">IF(((YEAR(C272)-YEAR('W Sites'!$F$12))*12+MONTH(C272)-MONTH('W Sites'!$F$12))&lt;'W Budget &amp; Owners'!$H$12,'W Budget &amp; Owners'!$E$12/'W Budget &amp; Owners'!$H$12*F272,0)+IF(C272&gt;=DATE(2027,9,1),'W Budget &amp; Owners'!$E$12*'W Assumptions'!$D$67/'W Budget &amp; Owners'!$H$12*F272,0)+IF(C272&gt;=DATE(2028,9,1),'W Budget &amp; Owners'!$E$12*'W Assumptions'!$D$69/'W Budget &amp; Owners'!$H$12*F272,0)</f>
        <v>7875</v>
      </c>
      <c r="X272" s="81" t="n">
        <f aca="false">IF(C272='W Budget &amp; Owners'!$I$12,'W Budget &amp; Owners'!$G$12*'W Sites'!$G$12,0)</f>
        <v>0</v>
      </c>
      <c r="Y272" s="112" t="n">
        <f aca="false">IF(SUM($G$266:$G$275)=0,0,'W Fees &amp; KPI'!$Q$32*G272/SUM($G$266:$G$275))</f>
        <v>4109.89072136225</v>
      </c>
      <c r="Z272" s="119" t="n">
        <f aca="false">IF(SUM($G$266:$G$275)=0,0,SUM('W Fees &amp; KPI'!$J$32,'W Fees &amp; KPI'!$M$32)*G272/SUM($G$266:$G$275))</f>
        <v>5223.75</v>
      </c>
      <c r="AA272" s="117" t="n">
        <f aca="false">T272-U272-Z272-Y272</f>
        <v>27989.2053131073</v>
      </c>
      <c r="AB272" s="119" t="n">
        <f aca="false">IF('W Fees &amp; KPI'!$D$32=0,0,T272-U272-Z272)</f>
        <v>32099.0960344696</v>
      </c>
    </row>
    <row r="273" customFormat="false" ht="21" hidden="false" customHeight="true" outlineLevel="0" collapsed="false">
      <c r="C273" s="144" t="n">
        <f aca="false">47058</f>
        <v>47058</v>
      </c>
      <c r="D273" s="81" t="n">
        <f aca="false">3</f>
        <v>3</v>
      </c>
      <c r="E273" s="81" t="str">
        <f aca="false">'W Sites'!C13</f>
        <v>S08</v>
      </c>
      <c r="F273" s="145" t="n">
        <f aca="false">'W Sites'!$G$13*MAX(0,EOMONTH(C273,0)-MAX(C273,'W Sites'!$F$13)+1)/DAY(EOMONTH(C273,0))</f>
        <v>1</v>
      </c>
      <c r="G273" s="145" t="n">
        <f aca="false">'W Sites'!$G$13*MAX(0,EOMONTH(C273,0)-MAX(C273,'W Sites'!$F$13,'W Assumptions'!$D$58)+1)/DAY(EOMONTH(C273,0))</f>
        <v>1</v>
      </c>
      <c r="H273" s="81" t="n">
        <f aca="false">'W Sites'!$H$13*F273*'W Sites'!$I$13*IF(((YEAR(C273)-YEAR('W Sites'!$F$13))*12+MONTH(C273)-MONTH('W Sites'!$F$13))=0,'W Assumptions'!$D$62,IF(((YEAR(C273)-YEAR('W Sites'!$F$13))*12+MONTH(C273)-MONTH('W Sites'!$F$13))=1,'W Assumptions'!$D$63,1))*INDEX('W Assumptions'!$D$7:$F$7,1,D273)*INDEX('W Assumptions'!$D$32:$F$32,1,D273)*INDEX('W Assumptions'!$D$80:$D$91,MONTH(C273),1)/AVERAGE('W Assumptions'!$D$80:$D$91)</f>
        <v>5096.52</v>
      </c>
      <c r="I273" s="81" t="n">
        <f aca="false">H273*'W Sites'!$J$13/(1+'W Assumptions'!$D$39)*INDEX('W Assumptions'!$D$12:$F$12,1,D273)*INDEX('W Assumptions'!$D$33:$F$33,1,D273)</f>
        <v>188066.019756522</v>
      </c>
      <c r="J273" s="81" t="n">
        <f aca="false">H273*'W Sites'!$K$13/(1+'W Assumptions'!$D$39)*INDEX('W Assumptions'!$D$12:$F$12,1,D273)*INDEX('W Assumptions'!$D$33:$F$33,1,D273)</f>
        <v>23508.2524695652</v>
      </c>
      <c r="K273" s="81" t="n">
        <f aca="false">'W Sites'!$L$13*F273*IF(((YEAR(C273)-YEAR('W Sites'!$F$13))*12+MONTH(C273)-MONTH('W Sites'!$F$13))=0,'W Assumptions'!$D$62,IF(((YEAR(C273)-YEAR('W Sites'!$F$13))*12+MONTH(C273)-MONTH('W Sites'!$F$13))=1,'W Assumptions'!$D$63,1))*INDEX('W Assumptions'!$D$7:$F$7,1,D273)*INDEX('W Assumptions'!$D$32:$F$32,1,D273)</f>
        <v>17820</v>
      </c>
      <c r="L273" s="81" t="n">
        <f aca="false">SUM(I273:K273)</f>
        <v>229394.272226087</v>
      </c>
      <c r="M273" s="81" t="n">
        <f aca="false">'W Site Costs'!$I$13*F273*INDEX('W Assumptions'!$D$34:$F$34,1,D273)*INDEX('W Assumptions'!$D$22:$F$22,1,D273)</f>
        <v>58802.94</v>
      </c>
      <c r="N273" s="81" t="n">
        <f aca="false">'W Site Costs'!$J$13*F273*INDEX('W Assumptions'!$D$35:$F$35,1,D273)*INDEX('W Assumptions'!$D$22:$F$22,1,D273)</f>
        <v>0</v>
      </c>
      <c r="O273" s="81" t="n">
        <f aca="false">L273*'W Site Costs'!$K$13</f>
        <v>22939.4272226087</v>
      </c>
      <c r="P273" s="81" t="n">
        <f aca="false">SUM('W Site Costs'!$L$13:$Q$13)*F273*INDEX('W Assumptions'!$D$35:$F$35,1,D273)*INDEX('W Assumptions'!$D$22:$F$22,1,D273)</f>
        <v>27580.8</v>
      </c>
      <c r="Q273" s="81" t="n">
        <f aca="false">L273*'W Site Costs'!$R$13*INDEX('W Assumptions'!$D$17:$F$17,1,D273)</f>
        <v>18351.541778087</v>
      </c>
      <c r="R273" s="112" t="n">
        <f aca="false">L273*'W Sites'!$M$13</f>
        <v>0</v>
      </c>
      <c r="S273" s="81" t="n">
        <f aca="false">SUM(M273:R273)</f>
        <v>127674.709000696</v>
      </c>
      <c r="T273" s="81" t="n">
        <f aca="false">L273-S273</f>
        <v>101719.563225391</v>
      </c>
      <c r="U273" s="81" t="n">
        <f aca="false">IF(C273='W Budget &amp; Owners'!$I$13,'W Budget &amp; Owners'!$F$13*'W Sites'!$G$13,0)</f>
        <v>0</v>
      </c>
      <c r="V273" s="81" t="n">
        <f aca="false">'W Sites'!$G$13*'W Budget &amp; Owners'!$E$13*INDEX('W Assumptions'!$D$27:$F$27,1,D273)*(IF(C273='W Budget &amp; Owners'!$I$13,'W Assumptions'!$D$65,0)+IF(C273=DATE(YEAR('W Sites'!$F$13),MONTH('W Sites'!$F$13),1),1-'W Assumptions'!$D$65,0))+'W Sites'!$G$13*'W Budget &amp; Owners'!$E$13*IF(C273=DATE(2027,9,1),'W Assumptions'!$D$67,IF(C273=DATE(2028,9,1),'W Assumptions'!$D$69,0))</f>
        <v>0</v>
      </c>
      <c r="W273" s="81" t="n">
        <f aca="false">IF(((YEAR(C273)-YEAR('W Sites'!$F$13))*12+MONTH(C273)-MONTH('W Sites'!$F$13))&lt;'W Budget &amp; Owners'!$H$13,'W Budget &amp; Owners'!$E$13/'W Budget &amp; Owners'!$H$13*F273,0)+IF(C273&gt;=DATE(2027,9,1),'W Budget &amp; Owners'!$E$13*'W Assumptions'!$D$67/'W Budget &amp; Owners'!$H$13*F273,0)+IF(C273&gt;=DATE(2028,9,1),'W Budget &amp; Owners'!$E$13*'W Assumptions'!$D$69/'W Budget &amp; Owners'!$H$13*F273,0)</f>
        <v>21000</v>
      </c>
      <c r="X273" s="81" t="n">
        <f aca="false">IF(C273='W Budget &amp; Owners'!$I$13,'W Budget &amp; Owners'!$G$13*'W Sites'!$G$13,0)</f>
        <v>0</v>
      </c>
      <c r="Y273" s="112" t="n">
        <f aca="false">IF(SUM($G$266:$G$275)=0,0,'W Fees &amp; KPI'!$Q$32*G273/SUM($G$266:$G$275))</f>
        <v>4109.89072136225</v>
      </c>
      <c r="Z273" s="119" t="n">
        <f aca="false">IF(SUM($G$266:$G$275)=0,0,SUM('W Fees &amp; KPI'!$J$32,'W Fees &amp; KPI'!$M$32)*G273/SUM($G$266:$G$275))</f>
        <v>5223.75</v>
      </c>
      <c r="AA273" s="117" t="n">
        <f aca="false">T273-U273-Z273-Y273</f>
        <v>92385.9225040291</v>
      </c>
      <c r="AB273" s="119" t="n">
        <f aca="false">IF('W Fees &amp; KPI'!$D$32=0,0,T273-U273-Z273)</f>
        <v>96495.8132253913</v>
      </c>
    </row>
    <row r="274" customFormat="false" ht="21" hidden="false" customHeight="true" outlineLevel="0" collapsed="false">
      <c r="C274" s="144" t="n">
        <f aca="false">47058</f>
        <v>47058</v>
      </c>
      <c r="D274" s="81" t="n">
        <f aca="false">3</f>
        <v>3</v>
      </c>
      <c r="E274" s="81" t="str">
        <f aca="false">'W Sites'!C14</f>
        <v>S09</v>
      </c>
      <c r="F274" s="145" t="n">
        <f aca="false">'W Sites'!$G$14*MAX(0,EOMONTH(C274,0)-MAX(C274,'W Sites'!$F$14)+1)/DAY(EOMONTH(C274,0))</f>
        <v>0</v>
      </c>
      <c r="G274" s="145" t="n">
        <f aca="false">'W Sites'!$G$14*MAX(0,EOMONTH(C274,0)-MAX(C274,'W Sites'!$F$14,'W Assumptions'!$D$58)+1)/DAY(EOMONTH(C274,0))</f>
        <v>0</v>
      </c>
      <c r="H274" s="81" t="n">
        <f aca="false">'W Sites'!$H$14*F274*'W Sites'!$I$14*IF(((YEAR(C274)-YEAR('W Sites'!$F$14))*12+MONTH(C274)-MONTH('W Sites'!$F$14))=0,'W Assumptions'!$D$62,IF(((YEAR(C274)-YEAR('W Sites'!$F$14))*12+MONTH(C274)-MONTH('W Sites'!$F$14))=1,'W Assumptions'!$D$63,1))*INDEX('W Assumptions'!$D$7:$F$7,1,D274)*INDEX('W Assumptions'!$D$32:$F$32,1,D274)*INDEX('W Assumptions'!$D$80:$D$91,MONTH(C274),1)/AVERAGE('W Assumptions'!$D$80:$D$91)</f>
        <v>0</v>
      </c>
      <c r="I274" s="81" t="n">
        <f aca="false">H274*'W Sites'!$J$14/(1+'W Assumptions'!$D$39)*INDEX('W Assumptions'!$D$12:$F$12,1,D274)*INDEX('W Assumptions'!$D$33:$F$33,1,D274)</f>
        <v>0</v>
      </c>
      <c r="J274" s="81" t="n">
        <f aca="false">H274*'W Sites'!$K$14/(1+'W Assumptions'!$D$39)*INDEX('W Assumptions'!$D$12:$F$12,1,D274)*INDEX('W Assumptions'!$D$33:$F$33,1,D274)</f>
        <v>0</v>
      </c>
      <c r="K274" s="81" t="n">
        <f aca="false">'W Sites'!$L$14*F274*IF(((YEAR(C274)-YEAR('W Sites'!$F$14))*12+MONTH(C274)-MONTH('W Sites'!$F$14))=0,'W Assumptions'!$D$62,IF(((YEAR(C274)-YEAR('W Sites'!$F$14))*12+MONTH(C274)-MONTH('W Sites'!$F$14))=1,'W Assumptions'!$D$63,1))*INDEX('W Assumptions'!$D$7:$F$7,1,D274)*INDEX('W Assumptions'!$D$32:$F$32,1,D274)</f>
        <v>0</v>
      </c>
      <c r="L274" s="81" t="n">
        <f aca="false">SUM(I274:K274)</f>
        <v>0</v>
      </c>
      <c r="M274" s="81" t="n">
        <f aca="false">'W Site Costs'!$I$14*F274*INDEX('W Assumptions'!$D$34:$F$34,1,D274)*INDEX('W Assumptions'!$D$22:$F$22,1,D274)</f>
        <v>0</v>
      </c>
      <c r="N274" s="81" t="n">
        <f aca="false">'W Site Costs'!$J$14*F274*INDEX('W Assumptions'!$D$35:$F$35,1,D274)*INDEX('W Assumptions'!$D$22:$F$22,1,D274)</f>
        <v>0</v>
      </c>
      <c r="O274" s="81" t="n">
        <f aca="false">L274*'W Site Costs'!$K$14</f>
        <v>0</v>
      </c>
      <c r="P274" s="81" t="n">
        <f aca="false">SUM('W Site Costs'!$L$14:$Q$14)*F274*INDEX('W Assumptions'!$D$35:$F$35,1,D274)*INDEX('W Assumptions'!$D$22:$F$22,1,D274)</f>
        <v>0</v>
      </c>
      <c r="Q274" s="81" t="n">
        <f aca="false">L274*'W Site Costs'!$R$14*INDEX('W Assumptions'!$D$17:$F$17,1,D274)</f>
        <v>0</v>
      </c>
      <c r="R274" s="112" t="n">
        <f aca="false">L274*'W Sites'!$M$14</f>
        <v>0</v>
      </c>
      <c r="S274" s="81" t="n">
        <f aca="false">SUM(M274:R274)</f>
        <v>0</v>
      </c>
      <c r="T274" s="81" t="n">
        <f aca="false">L274-S274</f>
        <v>0</v>
      </c>
      <c r="U274" s="81" t="n">
        <f aca="false">IF(C274='W Budget &amp; Owners'!$I$14,'W Budget &amp; Owners'!$F$14*'W Sites'!$G$14,0)</f>
        <v>0</v>
      </c>
      <c r="V274" s="81" t="n">
        <f aca="false">'W Sites'!$G$14*'W Budget &amp; Owners'!$E$14*INDEX('W Assumptions'!$D$27:$F$27,1,D274)*(IF(C274='W Budget &amp; Owners'!$I$14,'W Assumptions'!$D$65,0)+IF(C274=DATE(YEAR('W Sites'!$F$14),MONTH('W Sites'!$F$14),1),1-'W Assumptions'!$D$65,0))+'W Sites'!$G$14*'W Budget &amp; Owners'!$E$14*IF(C274=DATE(2027,9,1),'W Assumptions'!$D$67,IF(C274=DATE(2028,9,1),'W Assumptions'!$D$69,0))</f>
        <v>0</v>
      </c>
      <c r="W274" s="81" t="n">
        <f aca="false">IF(((YEAR(C274)-YEAR('W Sites'!$F$14))*12+MONTH(C274)-MONTH('W Sites'!$F$14))&lt;'W Budget &amp; Owners'!$H$14,'W Budget &amp; Owners'!$E$14/'W Budget &amp; Owners'!$H$14*F274,0)+IF(C274&gt;=DATE(2027,9,1),'W Budget &amp; Owners'!$E$14*'W Assumptions'!$D$67/'W Budget &amp; Owners'!$H$14*F274,0)+IF(C274&gt;=DATE(2028,9,1),'W Budget &amp; Owners'!$E$14*'W Assumptions'!$D$69/'W Budget &amp; Owners'!$H$14*F274,0)</f>
        <v>0</v>
      </c>
      <c r="X274" s="81" t="n">
        <f aca="false">IF(C274='W Budget &amp; Owners'!$I$14,'W Budget &amp; Owners'!$G$14*'W Sites'!$G$14,0)</f>
        <v>0</v>
      </c>
      <c r="Y274" s="112" t="n">
        <f aca="false">IF(SUM($G$266:$G$275)=0,0,'W Fees &amp; KPI'!$Q$32*G274/SUM($G$266:$G$275))</f>
        <v>0</v>
      </c>
      <c r="Z274" s="119" t="n">
        <f aca="false">IF(SUM($G$266:$G$275)=0,0,SUM('W Fees &amp; KPI'!$J$32,'W Fees &amp; KPI'!$M$32)*G274/SUM($G$266:$G$275))</f>
        <v>0</v>
      </c>
      <c r="AA274" s="117" t="n">
        <f aca="false">T274-U274-Z274-Y274</f>
        <v>0</v>
      </c>
      <c r="AB274" s="119" t="n">
        <f aca="false">IF('W Fees &amp; KPI'!$D$32=0,0,T274-U274-Z274)</f>
        <v>0</v>
      </c>
    </row>
    <row r="275" customFormat="false" ht="21" hidden="false" customHeight="true" outlineLevel="0" collapsed="false">
      <c r="C275" s="144" t="n">
        <f aca="false">47058</f>
        <v>47058</v>
      </c>
      <c r="D275" s="81" t="n">
        <f aca="false">3</f>
        <v>3</v>
      </c>
      <c r="E275" s="81" t="str">
        <f aca="false">'W Sites'!C15</f>
        <v>S10</v>
      </c>
      <c r="F275" s="145" t="n">
        <f aca="false">'W Sites'!$G$15*MAX(0,EOMONTH(C275,0)-MAX(C275,'W Sites'!$F$15)+1)/DAY(EOMONTH(C275,0))</f>
        <v>0</v>
      </c>
      <c r="G275" s="145" t="n">
        <f aca="false">'W Sites'!$G$15*MAX(0,EOMONTH(C275,0)-MAX(C275,'W Sites'!$F$15,'W Assumptions'!$D$58)+1)/DAY(EOMONTH(C275,0))</f>
        <v>0</v>
      </c>
      <c r="H275" s="81" t="n">
        <f aca="false">'W Sites'!$H$15*F275*'W Sites'!$I$15*IF(((YEAR(C275)-YEAR('W Sites'!$F$15))*12+MONTH(C275)-MONTH('W Sites'!$F$15))=0,'W Assumptions'!$D$62,IF(((YEAR(C275)-YEAR('W Sites'!$F$15))*12+MONTH(C275)-MONTH('W Sites'!$F$15))=1,'W Assumptions'!$D$63,1))*INDEX('W Assumptions'!$D$7:$F$7,1,D275)*INDEX('W Assumptions'!$D$32:$F$32,1,D275)*INDEX('W Assumptions'!$D$80:$D$91,MONTH(C275),1)/AVERAGE('W Assumptions'!$D$80:$D$91)</f>
        <v>0</v>
      </c>
      <c r="I275" s="81" t="n">
        <f aca="false">H275*'W Sites'!$J$15/(1+'W Assumptions'!$D$39)*INDEX('W Assumptions'!$D$12:$F$12,1,D275)*INDEX('W Assumptions'!$D$33:$F$33,1,D275)</f>
        <v>0</v>
      </c>
      <c r="J275" s="81" t="n">
        <f aca="false">H275*'W Sites'!$K$15/(1+'W Assumptions'!$D$39)*INDEX('W Assumptions'!$D$12:$F$12,1,D275)*INDEX('W Assumptions'!$D$33:$F$33,1,D275)</f>
        <v>0</v>
      </c>
      <c r="K275" s="81" t="n">
        <f aca="false">'W Sites'!$L$15*F275*IF(((YEAR(C275)-YEAR('W Sites'!$F$15))*12+MONTH(C275)-MONTH('W Sites'!$F$15))=0,'W Assumptions'!$D$62,IF(((YEAR(C275)-YEAR('W Sites'!$F$15))*12+MONTH(C275)-MONTH('W Sites'!$F$15))=1,'W Assumptions'!$D$63,1))*INDEX('W Assumptions'!$D$7:$F$7,1,D275)*INDEX('W Assumptions'!$D$32:$F$32,1,D275)</f>
        <v>0</v>
      </c>
      <c r="L275" s="81" t="n">
        <f aca="false">SUM(I275:K275)</f>
        <v>0</v>
      </c>
      <c r="M275" s="81" t="n">
        <f aca="false">'W Site Costs'!$I$15*F275*INDEX('W Assumptions'!$D$34:$F$34,1,D275)*INDEX('W Assumptions'!$D$22:$F$22,1,D275)</f>
        <v>0</v>
      </c>
      <c r="N275" s="81" t="n">
        <f aca="false">'W Site Costs'!$J$15*F275*INDEX('W Assumptions'!$D$35:$F$35,1,D275)*INDEX('W Assumptions'!$D$22:$F$22,1,D275)</f>
        <v>0</v>
      </c>
      <c r="O275" s="81" t="n">
        <f aca="false">L275*'W Site Costs'!$K$15</f>
        <v>0</v>
      </c>
      <c r="P275" s="81" t="n">
        <f aca="false">SUM('W Site Costs'!$L$15:$Q$15)*F275*INDEX('W Assumptions'!$D$35:$F$35,1,D275)*INDEX('W Assumptions'!$D$22:$F$22,1,D275)</f>
        <v>0</v>
      </c>
      <c r="Q275" s="81" t="n">
        <f aca="false">L275*'W Site Costs'!$R$15*INDEX('W Assumptions'!$D$17:$F$17,1,D275)</f>
        <v>0</v>
      </c>
      <c r="R275" s="112" t="n">
        <f aca="false">L275*'W Sites'!$M$15</f>
        <v>0</v>
      </c>
      <c r="S275" s="81" t="n">
        <f aca="false">SUM(M275:R275)</f>
        <v>0</v>
      </c>
      <c r="T275" s="81" t="n">
        <f aca="false">L275-S275</f>
        <v>0</v>
      </c>
      <c r="U275" s="81" t="n">
        <f aca="false">IF(C275='W Budget &amp; Owners'!$I$15,'W Budget &amp; Owners'!$F$15*'W Sites'!$G$15,0)</f>
        <v>0</v>
      </c>
      <c r="V275" s="81" t="n">
        <f aca="false">'W Sites'!$G$15*'W Budget &amp; Owners'!$E$15*INDEX('W Assumptions'!$D$27:$F$27,1,D275)*(IF(C275='W Budget &amp; Owners'!$I$15,'W Assumptions'!$D$65,0)+IF(C275=DATE(YEAR('W Sites'!$F$15),MONTH('W Sites'!$F$15),1),1-'W Assumptions'!$D$65,0))+'W Sites'!$G$15*'W Budget &amp; Owners'!$E$15*IF(C275=DATE(2027,9,1),'W Assumptions'!$D$67,IF(C275=DATE(2028,9,1),'W Assumptions'!$D$69,0))</f>
        <v>0</v>
      </c>
      <c r="W275" s="81" t="n">
        <f aca="false">IF(((YEAR(C275)-YEAR('W Sites'!$F$15))*12+MONTH(C275)-MONTH('W Sites'!$F$15))&lt;'W Budget &amp; Owners'!$H$15,'W Budget &amp; Owners'!$E$15/'W Budget &amp; Owners'!$H$15*F275,0)+IF(C275&gt;=DATE(2027,9,1),'W Budget &amp; Owners'!$E$15*'W Assumptions'!$D$67/'W Budget &amp; Owners'!$H$15*F275,0)+IF(C275&gt;=DATE(2028,9,1),'W Budget &amp; Owners'!$E$15*'W Assumptions'!$D$69/'W Budget &amp; Owners'!$H$15*F275,0)</f>
        <v>0</v>
      </c>
      <c r="X275" s="81" t="n">
        <f aca="false">IF(C275='W Budget &amp; Owners'!$I$15,'W Budget &amp; Owners'!$G$15*'W Sites'!$G$15,0)</f>
        <v>0</v>
      </c>
      <c r="Y275" s="112" t="n">
        <f aca="false">IF(SUM($G$266:$G$275)=0,0,'W Fees &amp; KPI'!$Q$32*G275/SUM($G$266:$G$275))</f>
        <v>0</v>
      </c>
      <c r="Z275" s="119" t="n">
        <f aca="false">IF(SUM($G$266:$G$275)=0,0,SUM('W Fees &amp; KPI'!$J$32,'W Fees &amp; KPI'!$M$32)*G275/SUM($G$266:$G$275))</f>
        <v>0</v>
      </c>
      <c r="AA275" s="117" t="n">
        <f aca="false">T275-U275-Z275-Y275</f>
        <v>0</v>
      </c>
      <c r="AB275" s="119" t="n">
        <f aca="false">IF('W Fees &amp; KPI'!$D$32=0,0,T275-U275-Z275)</f>
        <v>0</v>
      </c>
    </row>
    <row r="276" customFormat="false" ht="21" hidden="false" customHeight="true" outlineLevel="0" collapsed="false">
      <c r="C276" s="144" t="n">
        <f aca="false">47088</f>
        <v>47088</v>
      </c>
      <c r="D276" s="81" t="n">
        <f aca="false">3</f>
        <v>3</v>
      </c>
      <c r="E276" s="81" t="str">
        <f aca="false">'W Sites'!C6</f>
        <v>S01</v>
      </c>
      <c r="F276" s="145" t="n">
        <f aca="false">'W Sites'!$G$6*MAX(0,EOMONTH(C276,0)-MAX(C276,'W Sites'!$F$6)+1)/DAY(EOMONTH(C276,0))</f>
        <v>1</v>
      </c>
      <c r="G276" s="145" t="n">
        <f aca="false">'W Sites'!$G$6*MAX(0,EOMONTH(C276,0)-MAX(C276,'W Sites'!$F$6,'W Assumptions'!$D$58)+1)/DAY(EOMONTH(C276,0))</f>
        <v>1</v>
      </c>
      <c r="H276" s="81" t="n">
        <f aca="false">'W Sites'!$D$45*INDEX('W Sites'!$E$65:$E$76,MONTH(C276),1)/SUM('W Sites'!$E$65:$E$76)*F276*(1+'W Sites'!$D$56)^(D276-1)*INDEX('W Assumptions'!$D$7:$F$7,1,D276)</f>
        <v>7901.1552</v>
      </c>
      <c r="I276" s="81" t="n">
        <f aca="false">H276*'W Sites'!$D$46/(1+'W Sites'!$D$54*'W Assumptions'!$D$39)*INDEX('W Assumptions'!$D$12:$F$12,1,D276)</f>
        <v>434563.536</v>
      </c>
      <c r="J276" s="81" t="n">
        <f aca="false">H276*SUM('W Sites'!$D$47:$D$49)/(1+'W Sites'!$D$54*'W Assumptions'!$D$39)*INDEX('W Assumptions'!$D$12:$F$12,1,D276)</f>
        <v>237034.656</v>
      </c>
      <c r="K276" s="81" t="n">
        <f aca="false">SUM('W Sites'!$D$50:$D$52)/12*F276*(1+'W Sites'!$D$56)^(D276-1)*INDEX('W Assumptions'!$D$7:$F$7,1,D276)*INDEX('W Assumptions'!$D$12:$F$12,1,D276)/(1+'W Sites'!$D$54*'W Assumptions'!$D$39)</f>
        <v>37453.3333333333</v>
      </c>
      <c r="L276" s="81" t="n">
        <f aca="false">SUM(I276:K276)</f>
        <v>709051.525333333</v>
      </c>
      <c r="M276" s="81" t="n">
        <f aca="false">('W Site Costs'!$I$6+INDEX('W Sites'!$F$65:$F$76,MONTH(C276),1)*'W Site Costs'!$V$6)*F276*(1+'W Sites'!$D$58)^(D276-1)*INDEX('W Assumptions'!$D$22:$F$22,1,D276)</f>
        <v>117353.6</v>
      </c>
      <c r="N276" s="81" t="n">
        <f aca="false">'W Site Costs'!$J$6*F276*INDEX('W Assumptions'!$D$35:$F$35,1,D276)*INDEX('W Assumptions'!$D$22:$F$22,1,D276)</f>
        <v>16224</v>
      </c>
      <c r="O276" s="81" t="n">
        <f aca="false">L276*'W Site Costs'!$K$6</f>
        <v>0</v>
      </c>
      <c r="P276" s="81" t="n">
        <f aca="false">(SUM('W Site Costs'!$L$6:$Q$6)+INDEX('W Sites'!$F$65:$F$76,MONTH(C276),1)*'W Site Costs'!$W$6)*F276*(1+'W Sites'!$D$58)^(D276-1)*INDEX('W Assumptions'!$D$22:$F$22,1,D276)</f>
        <v>80038.4</v>
      </c>
      <c r="Q276" s="81" t="n">
        <f aca="false">('W Site Costs'!$X$6+INDEX('W Sites'!$F$65:$F$76,MONTH(C276),1)*'W Site Costs'!$Y$6)*F276*(1+'W Sites'!$D$58)^(D276-1)*INDEX('W Assumptions'!$D$17:$F$17,1,D276)</f>
        <v>19468.8</v>
      </c>
      <c r="R276" s="112" t="n">
        <f aca="false">L276*'W Sites'!$M$6</f>
        <v>0</v>
      </c>
      <c r="S276" s="81" t="n">
        <f aca="false">SUM(M276:R276)</f>
        <v>233084.8</v>
      </c>
      <c r="T276" s="81" t="n">
        <f aca="false">L276-S276</f>
        <v>475966.725333333</v>
      </c>
      <c r="U276" s="81" t="n">
        <f aca="false">IF(C276='W Budget &amp; Owners'!$I$6,'W Budget &amp; Owners'!$F$6*'W Sites'!$G$6,0)</f>
        <v>0</v>
      </c>
      <c r="V276" s="81" t="n">
        <f aca="false">'W Sites'!$G$6*'W Budget &amp; Owners'!$E$6*INDEX('W Assumptions'!$D$27:$F$27,1,D276)*(IF(C276='W Budget &amp; Owners'!$I$6,'W Assumptions'!$D$65,0)+IF(C276=DATE(YEAR('W Sites'!$F$6),MONTH('W Sites'!$F$6),1),1-'W Assumptions'!$D$65,0))+'W Sites'!$G$6*'W Budget &amp; Owners'!$E$6*IF(C276=DATE(2027,9,1),'W Assumptions'!$D$67,IF(C276=DATE(2028,9,1),'W Assumptions'!$D$69,0))</f>
        <v>0</v>
      </c>
      <c r="W276" s="81" t="n">
        <f aca="false">IF(((YEAR(C276)-YEAR('W Sites'!$F$6))*12+MONTH(C276)-MONTH('W Sites'!$F$6))&lt;'W Budget &amp; Owners'!$H$6,'W Budget &amp; Owners'!$E$6/'W Budget &amp; Owners'!$H$6*F276,0)+IF(C276&gt;=DATE(2027,9,1),'W Budget &amp; Owners'!$E$6*'W Assumptions'!$D$67/'W Budget &amp; Owners'!$H$6*F276,0)+IF(C276&gt;=DATE(2028,9,1),'W Budget &amp; Owners'!$E$6*'W Assumptions'!$D$69/'W Budget &amp; Owners'!$H$6*F276,0)</f>
        <v>6125</v>
      </c>
      <c r="X276" s="81" t="n">
        <f aca="false">IF(C276='W Budget &amp; Owners'!$I$6,'W Budget &amp; Owners'!$G$6*'W Sites'!$G$6,0)</f>
        <v>0</v>
      </c>
      <c r="Y276" s="112" t="n">
        <f aca="false">IF(SUM($G$276:$G$285)=0,0,'W Fees &amp; KPI'!$Q$33*G276/SUM($G$276:$G$285))</f>
        <v>6481.54896371583</v>
      </c>
      <c r="Z276" s="119" t="n">
        <f aca="false">IF(SUM($G$276:$G$285)=0,0,SUM('W Fees &amp; KPI'!$J$33,'W Fees &amp; KPI'!$M$33)*G276/SUM($G$276:$G$285))</f>
        <v>5223.75</v>
      </c>
      <c r="AA276" s="117" t="n">
        <f aca="false">T276-U276-Z276-Y276</f>
        <v>464261.426369618</v>
      </c>
      <c r="AB276" s="119" t="n">
        <f aca="false">IF('W Fees &amp; KPI'!$D$33=0,0,T276-U276-Z276)</f>
        <v>470742.975333333</v>
      </c>
    </row>
    <row r="277" customFormat="false" ht="21" hidden="false" customHeight="true" outlineLevel="0" collapsed="false">
      <c r="C277" s="144" t="n">
        <f aca="false">47088</f>
        <v>47088</v>
      </c>
      <c r="D277" s="81" t="n">
        <f aca="false">3</f>
        <v>3</v>
      </c>
      <c r="E277" s="81" t="str">
        <f aca="false">'W Sites'!C7</f>
        <v>S02</v>
      </c>
      <c r="F277" s="145" t="n">
        <f aca="false">'W Sites'!$G$7*MAX(0,EOMONTH(C277,0)-MAX(C277,'W Sites'!$F$7)+1)/DAY(EOMONTH(C277,0))</f>
        <v>1</v>
      </c>
      <c r="G277" s="145" t="n">
        <f aca="false">'W Sites'!$G$7*MAX(0,EOMONTH(C277,0)-MAX(C277,'W Sites'!$F$7,'W Assumptions'!$D$58)+1)/DAY(EOMONTH(C277,0))</f>
        <v>1</v>
      </c>
      <c r="H277" s="81" t="n">
        <f aca="false">'W Sites'!$H$7*F277*'W Sites'!$I$7*IF(((YEAR(C277)-YEAR('W Sites'!$F$7))*12+MONTH(C277)-MONTH('W Sites'!$F$7))=0,'W Assumptions'!$D$62,IF(((YEAR(C277)-YEAR('W Sites'!$F$7))*12+MONTH(C277)-MONTH('W Sites'!$F$7))=1,'W Assumptions'!$D$63,1))*INDEX('W Assumptions'!$D$7:$F$7,1,D277)*INDEX('W Assumptions'!$D$32:$F$32,1,D277)*INDEX('W Assumptions'!$D$80:$D$91,MONTH(C277),1)/AVERAGE('W Assumptions'!$D$80:$D$91)</f>
        <v>2869.02</v>
      </c>
      <c r="I277" s="81" t="n">
        <f aca="false">H277*'W Sites'!$J$7/(1+'W Assumptions'!$D$39)*INDEX('W Assumptions'!$D$12:$F$12,1,D277)*INDEX('W Assumptions'!$D$33:$F$33,1,D277)</f>
        <v>92635.6662</v>
      </c>
      <c r="J277" s="81" t="n">
        <f aca="false">H277*'W Sites'!$K$7/(1+'W Assumptions'!$D$39)*INDEX('W Assumptions'!$D$12:$F$12,1,D277)*INDEX('W Assumptions'!$D$33:$F$33,1,D277)</f>
        <v>7940.19996</v>
      </c>
      <c r="K277" s="81" t="n">
        <f aca="false">'W Sites'!$L$7*F277*IF(((YEAR(C277)-YEAR('W Sites'!$F$7))*12+MONTH(C277)-MONTH('W Sites'!$F$7))=0,'W Assumptions'!$D$62,IF(((YEAR(C277)-YEAR('W Sites'!$F$7))*12+MONTH(C277)-MONTH('W Sites'!$F$7))=1,'W Assumptions'!$D$63,1))*INDEX('W Assumptions'!$D$7:$F$7,1,D277)*INDEX('W Assumptions'!$D$32:$F$32,1,D277)</f>
        <v>5940</v>
      </c>
      <c r="L277" s="81" t="n">
        <f aca="false">SUM(I277:K277)</f>
        <v>106515.86616</v>
      </c>
      <c r="M277" s="81" t="n">
        <f aca="false">'W Site Costs'!$I$7*F277*INDEX('W Assumptions'!$D$34:$F$34,1,D277)*INDEX('W Assumptions'!$D$22:$F$22,1,D277)</f>
        <v>35776.125</v>
      </c>
      <c r="N277" s="81" t="n">
        <f aca="false">'W Site Costs'!$J$7*F277*INDEX('W Assumptions'!$D$35:$F$35,1,D277)*INDEX('W Assumptions'!$D$22:$F$22,1,D277)</f>
        <v>0</v>
      </c>
      <c r="O277" s="81" t="n">
        <f aca="false">L277*'W Site Costs'!$K$7</f>
        <v>15977.379924</v>
      </c>
      <c r="P277" s="81" t="n">
        <f aca="false">SUM('W Site Costs'!$L$7:$Q$7)*F277*INDEX('W Assumptions'!$D$35:$F$35,1,D277)*INDEX('W Assumptions'!$D$22:$F$22,1,D277)</f>
        <v>12654.72</v>
      </c>
      <c r="Q277" s="81" t="n">
        <f aca="false">L277*'W Site Costs'!$R$7*INDEX('W Assumptions'!$D$17:$F$17,1,D277)</f>
        <v>6390.9519696</v>
      </c>
      <c r="R277" s="112" t="n">
        <f aca="false">L277*'W Sites'!$M$7</f>
        <v>0</v>
      </c>
      <c r="S277" s="81" t="n">
        <f aca="false">SUM(M277:R277)</f>
        <v>70799.1768936</v>
      </c>
      <c r="T277" s="81" t="n">
        <f aca="false">L277-S277</f>
        <v>35716.6892664</v>
      </c>
      <c r="U277" s="81" t="n">
        <f aca="false">IF(C277='W Budget &amp; Owners'!$I$7,'W Budget &amp; Owners'!$F$7*'W Sites'!$G$7,0)</f>
        <v>0</v>
      </c>
      <c r="V277" s="81" t="n">
        <f aca="false">'W Sites'!$G$7*'W Budget &amp; Owners'!$E$7*INDEX('W Assumptions'!$D$27:$F$27,1,D277)*(IF(C277='W Budget &amp; Owners'!$I$7,'W Assumptions'!$D$65,0)+IF(C277=DATE(YEAR('W Sites'!$F$7),MONTH('W Sites'!$F$7),1),1-'W Assumptions'!$D$65,0))+'W Sites'!$G$7*'W Budget &amp; Owners'!$E$7*IF(C277=DATE(2027,9,1),'W Assumptions'!$D$67,IF(C277=DATE(2028,9,1),'W Assumptions'!$D$69,0))</f>
        <v>0</v>
      </c>
      <c r="W277" s="81" t="n">
        <f aca="false">IF(((YEAR(C277)-YEAR('W Sites'!$F$7))*12+MONTH(C277)-MONTH('W Sites'!$F$7))&lt;'W Budget &amp; Owners'!$H$7,'W Budget &amp; Owners'!$E$7/'W Budget &amp; Owners'!$H$7*F277,0)+IF(C277&gt;=DATE(2027,9,1),'W Budget &amp; Owners'!$E$7*'W Assumptions'!$D$67/'W Budget &amp; Owners'!$H$7*F277,0)+IF(C277&gt;=DATE(2028,9,1),'W Budget &amp; Owners'!$E$7*'W Assumptions'!$D$69/'W Budget &amp; Owners'!$H$7*F277,0)</f>
        <v>1400</v>
      </c>
      <c r="X277" s="81" t="n">
        <f aca="false">IF(C277='W Budget &amp; Owners'!$I$7,'W Budget &amp; Owners'!$G$7*'W Sites'!$G$7,0)</f>
        <v>0</v>
      </c>
      <c r="Y277" s="112" t="n">
        <f aca="false">IF(SUM($G$276:$G$285)=0,0,'W Fees &amp; KPI'!$Q$33*G277/SUM($G$276:$G$285))</f>
        <v>6481.54896371583</v>
      </c>
      <c r="Z277" s="119" t="n">
        <f aca="false">IF(SUM($G$276:$G$285)=0,0,SUM('W Fees &amp; KPI'!$J$33,'W Fees &amp; KPI'!$M$33)*G277/SUM($G$276:$G$285))</f>
        <v>5223.75</v>
      </c>
      <c r="AA277" s="117" t="n">
        <f aca="false">T277-U277-Z277-Y277</f>
        <v>24011.3903026842</v>
      </c>
      <c r="AB277" s="119" t="n">
        <f aca="false">IF('W Fees &amp; KPI'!$D$33=0,0,T277-U277-Z277)</f>
        <v>30492.9392664</v>
      </c>
    </row>
    <row r="278" customFormat="false" ht="21" hidden="false" customHeight="true" outlineLevel="0" collapsed="false">
      <c r="C278" s="144" t="n">
        <f aca="false">47088</f>
        <v>47088</v>
      </c>
      <c r="D278" s="81" t="n">
        <f aca="false">3</f>
        <v>3</v>
      </c>
      <c r="E278" s="81" t="str">
        <f aca="false">'W Sites'!C8</f>
        <v>S03</v>
      </c>
      <c r="F278" s="145" t="n">
        <f aca="false">'W Sites'!$G$8*MAX(0,EOMONTH(C278,0)-MAX(C278,'W Sites'!$F$8)+1)/DAY(EOMONTH(C278,0))</f>
        <v>1</v>
      </c>
      <c r="G278" s="145" t="n">
        <f aca="false">'W Sites'!$G$8*MAX(0,EOMONTH(C278,0)-MAX(C278,'W Sites'!$F$8,'W Assumptions'!$D$58)+1)/DAY(EOMONTH(C278,0))</f>
        <v>1</v>
      </c>
      <c r="H278" s="81" t="n">
        <f aca="false">'W Sites'!$H$8*F278*'W Sites'!$I$8*IF(((YEAR(C278)-YEAR('W Sites'!$F$8))*12+MONTH(C278)-MONTH('W Sites'!$F$8))=0,'W Assumptions'!$D$62,IF(((YEAR(C278)-YEAR('W Sites'!$F$8))*12+MONTH(C278)-MONTH('W Sites'!$F$8))=1,'W Assumptions'!$D$63,1))*INDEX('W Assumptions'!$D$7:$F$7,1,D278)*INDEX('W Assumptions'!$D$32:$F$32,1,D278)*INDEX('W Assumptions'!$D$80:$D$91,MONTH(C278),1)/AVERAGE('W Assumptions'!$D$80:$D$91)</f>
        <v>3874.01917808219</v>
      </c>
      <c r="I278" s="81" t="n">
        <f aca="false">H278*'W Sites'!$J$8/(1+'W Assumptions'!$D$39)*INDEX('W Assumptions'!$D$12:$F$12,1,D278)*INDEX('W Assumptions'!$D$33:$F$33,1,D278)</f>
        <v>232301.349123288</v>
      </c>
      <c r="J278" s="81" t="n">
        <f aca="false">H278*'W Sites'!$K$8/(1+'W Assumptions'!$D$39)*INDEX('W Assumptions'!$D$12:$F$12,1,D278)*INDEX('W Assumptions'!$D$33:$F$33,1,D278)</f>
        <v>28590.9352767123</v>
      </c>
      <c r="K278" s="81" t="n">
        <f aca="false">'W Sites'!$L$8*F278*IF(((YEAR(C278)-YEAR('W Sites'!$F$8))*12+MONTH(C278)-MONTH('W Sites'!$F$8))=0,'W Assumptions'!$D$62,IF(((YEAR(C278)-YEAR('W Sites'!$F$8))*12+MONTH(C278)-MONTH('W Sites'!$F$8))=1,'W Assumptions'!$D$63,1))*INDEX('W Assumptions'!$D$7:$F$7,1,D278)*INDEX('W Assumptions'!$D$32:$F$32,1,D278)</f>
        <v>23760</v>
      </c>
      <c r="L278" s="81" t="n">
        <f aca="false">SUM(I278:K278)</f>
        <v>284652.2844</v>
      </c>
      <c r="M278" s="81" t="n">
        <f aca="false">'W Site Costs'!$I$8*F278*INDEX('W Assumptions'!$D$34:$F$34,1,D278)*INDEX('W Assumptions'!$D$22:$F$22,1,D278)</f>
        <v>52948.665</v>
      </c>
      <c r="N278" s="81" t="n">
        <f aca="false">'W Site Costs'!$J$8*F278*INDEX('W Assumptions'!$D$35:$F$35,1,D278)*INDEX('W Assumptions'!$D$22:$F$22,1,D278)</f>
        <v>37856</v>
      </c>
      <c r="O278" s="81" t="n">
        <f aca="false">L278*'W Site Costs'!$K$8</f>
        <v>0</v>
      </c>
      <c r="P278" s="81" t="n">
        <f aca="false">SUM('W Site Costs'!$L$8:$Q$8)*F278*INDEX('W Assumptions'!$D$35:$F$35,1,D278)*INDEX('W Assumptions'!$D$22:$F$22,1,D278)</f>
        <v>21091.2</v>
      </c>
      <c r="Q278" s="81" t="n">
        <f aca="false">L278*'W Site Costs'!$R$8*INDEX('W Assumptions'!$D$17:$F$17,1,D278)</f>
        <v>22772.182752</v>
      </c>
      <c r="R278" s="112" t="n">
        <f aca="false">L278*'W Sites'!$M$8</f>
        <v>0</v>
      </c>
      <c r="S278" s="81" t="n">
        <f aca="false">SUM(M278:R278)</f>
        <v>134668.047752</v>
      </c>
      <c r="T278" s="81" t="n">
        <f aca="false">L278-S278</f>
        <v>149984.236648</v>
      </c>
      <c r="U278" s="81" t="n">
        <f aca="false">IF(C278='W Budget &amp; Owners'!$I$8,'W Budget &amp; Owners'!$F$8*'W Sites'!$G$8,0)</f>
        <v>0</v>
      </c>
      <c r="V278" s="81" t="n">
        <f aca="false">'W Sites'!$G$8*'W Budget &amp; Owners'!$E$8*INDEX('W Assumptions'!$D$27:$F$27,1,D278)*(IF(C278='W Budget &amp; Owners'!$I$8,'W Assumptions'!$D$65,0)+IF(C278=DATE(YEAR('W Sites'!$F$8),MONTH('W Sites'!$F$8),1),1-'W Assumptions'!$D$65,0))+'W Sites'!$G$8*'W Budget &amp; Owners'!$E$8*IF(C278=DATE(2027,9,1),'W Assumptions'!$D$67,IF(C278=DATE(2028,9,1),'W Assumptions'!$D$69,0))</f>
        <v>0</v>
      </c>
      <c r="W278" s="81" t="n">
        <f aca="false">IF(((YEAR(C278)-YEAR('W Sites'!$F$8))*12+MONTH(C278)-MONTH('W Sites'!$F$8))&lt;'W Budget &amp; Owners'!$H$8,'W Budget &amp; Owners'!$E$8/'W Budget &amp; Owners'!$H$8*F278,0)+IF(C278&gt;=DATE(2027,9,1),'W Budget &amp; Owners'!$E$8*'W Assumptions'!$D$67/'W Budget &amp; Owners'!$H$8*F278,0)+IF(C278&gt;=DATE(2028,9,1),'W Budget &amp; Owners'!$E$8*'W Assumptions'!$D$69/'W Budget &amp; Owners'!$H$8*F278,0)</f>
        <v>10500</v>
      </c>
      <c r="X278" s="81" t="n">
        <f aca="false">IF(C278='W Budget &amp; Owners'!$I$8,'W Budget &amp; Owners'!$G$8*'W Sites'!$G$8,0)</f>
        <v>0</v>
      </c>
      <c r="Y278" s="112" t="n">
        <f aca="false">IF(SUM($G$276:$G$285)=0,0,'W Fees &amp; KPI'!$Q$33*G278/SUM($G$276:$G$285))</f>
        <v>6481.54896371583</v>
      </c>
      <c r="Z278" s="119" t="n">
        <f aca="false">IF(SUM($G$276:$G$285)=0,0,SUM('W Fees &amp; KPI'!$J$33,'W Fees &amp; KPI'!$M$33)*G278/SUM($G$276:$G$285))</f>
        <v>5223.75</v>
      </c>
      <c r="AA278" s="117" t="n">
        <f aca="false">T278-U278-Z278-Y278</f>
        <v>138278.937684284</v>
      </c>
      <c r="AB278" s="119" t="n">
        <f aca="false">IF('W Fees &amp; KPI'!$D$33=0,0,T278-U278-Z278)</f>
        <v>144760.486648</v>
      </c>
    </row>
    <row r="279" customFormat="false" ht="21" hidden="false" customHeight="true" outlineLevel="0" collapsed="false">
      <c r="C279" s="144" t="n">
        <f aca="false">47088</f>
        <v>47088</v>
      </c>
      <c r="D279" s="81" t="n">
        <f aca="false">3</f>
        <v>3</v>
      </c>
      <c r="E279" s="81" t="str">
        <f aca="false">'W Sites'!C9</f>
        <v>S04</v>
      </c>
      <c r="F279" s="145" t="n">
        <f aca="false">'W Sites'!$G$9*MAX(0,EOMONTH(C279,0)-MAX(C279,'W Sites'!$F$9)+1)/DAY(EOMONTH(C279,0))</f>
        <v>1</v>
      </c>
      <c r="G279" s="145" t="n">
        <f aca="false">'W Sites'!$G$9*MAX(0,EOMONTH(C279,0)-MAX(C279,'W Sites'!$F$9,'W Assumptions'!$D$58)+1)/DAY(EOMONTH(C279,0))</f>
        <v>1</v>
      </c>
      <c r="H279" s="81" t="n">
        <f aca="false">'W Sites'!$H$9*F279*'W Sites'!$I$9*IF(((YEAR(C279)-YEAR('W Sites'!$F$9))*12+MONTH(C279)-MONTH('W Sites'!$F$9))=0,'W Assumptions'!$D$62,IF(((YEAR(C279)-YEAR('W Sites'!$F$9))*12+MONTH(C279)-MONTH('W Sites'!$F$9))=1,'W Assumptions'!$D$63,1))*INDEX('W Assumptions'!$D$7:$F$7,1,D279)*INDEX('W Assumptions'!$D$32:$F$32,1,D279)*INDEX('W Assumptions'!$D$80:$D$91,MONTH(C279),1)/AVERAGE('W Assumptions'!$D$80:$D$91)</f>
        <v>2727.65625</v>
      </c>
      <c r="I279" s="81" t="n">
        <f aca="false">H279*'W Sites'!$J$9/(1+'W Assumptions'!$D$39)*INDEX('W Assumptions'!$D$12:$F$12,1,D279)*INDEX('W Assumptions'!$D$33:$F$33,1,D279)</f>
        <v>163560.9421875</v>
      </c>
      <c r="J279" s="81" t="n">
        <f aca="false">H279*'W Sites'!$K$9/(1+'W Assumptions'!$D$39)*INDEX('W Assumptions'!$D$12:$F$12,1,D279)*INDEX('W Assumptions'!$D$33:$F$33,1,D279)</f>
        <v>17614.2553125</v>
      </c>
      <c r="K279" s="81" t="n">
        <f aca="false">'W Sites'!$L$9*F279*IF(((YEAR(C279)-YEAR('W Sites'!$F$9))*12+MONTH(C279)-MONTH('W Sites'!$F$9))=0,'W Assumptions'!$D$62,IF(((YEAR(C279)-YEAR('W Sites'!$F$9))*12+MONTH(C279)-MONTH('W Sites'!$F$9))=1,'W Assumptions'!$D$63,1))*INDEX('W Assumptions'!$D$7:$F$7,1,D279)*INDEX('W Assumptions'!$D$32:$F$32,1,D279)</f>
        <v>17820</v>
      </c>
      <c r="L279" s="81" t="n">
        <f aca="false">SUM(I279:K279)</f>
        <v>198995.1975</v>
      </c>
      <c r="M279" s="81" t="n">
        <f aca="false">'W Site Costs'!$I$9*F279*INDEX('W Assumptions'!$D$34:$F$34,1,D279)*INDEX('W Assumptions'!$D$22:$F$22,1,D279)</f>
        <v>41630.4</v>
      </c>
      <c r="N279" s="81" t="n">
        <f aca="false">'W Site Costs'!$J$9*F279*INDEX('W Assumptions'!$D$35:$F$35,1,D279)*INDEX('W Assumptions'!$D$22:$F$22,1,D279)</f>
        <v>23795.2</v>
      </c>
      <c r="O279" s="81" t="n">
        <f aca="false">L279*'W Site Costs'!$K$9</f>
        <v>0</v>
      </c>
      <c r="P279" s="81" t="n">
        <f aca="false">SUM('W Site Costs'!$L$9:$Q$9)*F279*INDEX('W Assumptions'!$D$35:$F$35,1,D279)*INDEX('W Assumptions'!$D$22:$F$22,1,D279)</f>
        <v>16764.8</v>
      </c>
      <c r="Q279" s="81" t="n">
        <f aca="false">L279*'W Site Costs'!$R$9*INDEX('W Assumptions'!$D$17:$F$17,1,D279)</f>
        <v>15919.6158</v>
      </c>
      <c r="R279" s="112" t="n">
        <f aca="false">L279*'W Sites'!$M$9</f>
        <v>0</v>
      </c>
      <c r="S279" s="81" t="n">
        <f aca="false">SUM(M279:R279)</f>
        <v>98110.0158</v>
      </c>
      <c r="T279" s="81" t="n">
        <f aca="false">L279-S279</f>
        <v>100885.1817</v>
      </c>
      <c r="U279" s="81" t="n">
        <f aca="false">IF(C279='W Budget &amp; Owners'!$I$9,'W Budget &amp; Owners'!$F$9*'W Sites'!$G$9,0)</f>
        <v>0</v>
      </c>
      <c r="V279" s="81" t="n">
        <f aca="false">'W Sites'!$G$9*'W Budget &amp; Owners'!$E$9*INDEX('W Assumptions'!$D$27:$F$27,1,D279)*(IF(C279='W Budget &amp; Owners'!$I$9,'W Assumptions'!$D$65,0)+IF(C279=DATE(YEAR('W Sites'!$F$9),MONTH('W Sites'!$F$9),1),1-'W Assumptions'!$D$65,0))+'W Sites'!$G$9*'W Budget &amp; Owners'!$E$9*IF(C279=DATE(2027,9,1),'W Assumptions'!$D$67,IF(C279=DATE(2028,9,1),'W Assumptions'!$D$69,0))</f>
        <v>0</v>
      </c>
      <c r="W279" s="81" t="n">
        <f aca="false">IF(((YEAR(C279)-YEAR('W Sites'!$F$9))*12+MONTH(C279)-MONTH('W Sites'!$F$9))&lt;'W Budget &amp; Owners'!$H$9,'W Budget &amp; Owners'!$E$9/'W Budget &amp; Owners'!$H$9*F279,0)+IF(C279&gt;=DATE(2027,9,1),'W Budget &amp; Owners'!$E$9*'W Assumptions'!$D$67/'W Budget &amp; Owners'!$H$9*F279,0)+IF(C279&gt;=DATE(2028,9,1),'W Budget &amp; Owners'!$E$9*'W Assumptions'!$D$69/'W Budget &amp; Owners'!$H$9*F279,0)</f>
        <v>8750</v>
      </c>
      <c r="X279" s="81" t="n">
        <f aca="false">IF(C279='W Budget &amp; Owners'!$I$9,'W Budget &amp; Owners'!$G$9*'W Sites'!$G$9,0)</f>
        <v>0</v>
      </c>
      <c r="Y279" s="112" t="n">
        <f aca="false">IF(SUM($G$276:$G$285)=0,0,'W Fees &amp; KPI'!$Q$33*G279/SUM($G$276:$G$285))</f>
        <v>6481.54896371583</v>
      </c>
      <c r="Z279" s="119" t="n">
        <f aca="false">IF(SUM($G$276:$G$285)=0,0,SUM('W Fees &amp; KPI'!$J$33,'W Fees &amp; KPI'!$M$33)*G279/SUM($G$276:$G$285))</f>
        <v>5223.75</v>
      </c>
      <c r="AA279" s="117" t="n">
        <f aca="false">T279-U279-Z279-Y279</f>
        <v>89179.8827362842</v>
      </c>
      <c r="AB279" s="119" t="n">
        <f aca="false">IF('W Fees &amp; KPI'!$D$33=0,0,T279-U279-Z279)</f>
        <v>95661.4317</v>
      </c>
    </row>
    <row r="280" customFormat="false" ht="21" hidden="false" customHeight="true" outlineLevel="0" collapsed="false">
      <c r="C280" s="144" t="n">
        <f aca="false">47088</f>
        <v>47088</v>
      </c>
      <c r="D280" s="81" t="n">
        <f aca="false">3</f>
        <v>3</v>
      </c>
      <c r="E280" s="81" t="str">
        <f aca="false">'W Sites'!C10</f>
        <v>S05</v>
      </c>
      <c r="F280" s="145" t="n">
        <f aca="false">'W Sites'!$G$10*MAX(0,EOMONTH(C280,0)-MAX(C280,'W Sites'!$F$10)+1)/DAY(EOMONTH(C280,0))</f>
        <v>1</v>
      </c>
      <c r="G280" s="145" t="n">
        <f aca="false">'W Sites'!$G$10*MAX(0,EOMONTH(C280,0)-MAX(C280,'W Sites'!$F$10,'W Assumptions'!$D$58)+1)/DAY(EOMONTH(C280,0))</f>
        <v>1</v>
      </c>
      <c r="H280" s="81" t="n">
        <f aca="false">'W Sites'!$H$10*F280*'W Sites'!$I$10*IF(((YEAR(C280)-YEAR('W Sites'!$F$10))*12+MONTH(C280)-MONTH('W Sites'!$F$10))=0,'W Assumptions'!$D$62,IF(((YEAR(C280)-YEAR('W Sites'!$F$10))*12+MONTH(C280)-MONTH('W Sites'!$F$10))=1,'W Assumptions'!$D$63,1))*INDEX('W Assumptions'!$D$7:$F$7,1,D280)*INDEX('W Assumptions'!$D$32:$F$32,1,D280)*INDEX('W Assumptions'!$D$80:$D$91,MONTH(C280),1)/AVERAGE('W Assumptions'!$D$80:$D$91)</f>
        <v>3486.61726027397</v>
      </c>
      <c r="I280" s="81" t="n">
        <f aca="false">H280*'W Sites'!$J$10/(1+'W Assumptions'!$D$39)*INDEX('W Assumptions'!$D$12:$F$12,1,D280)*INDEX('W Assumptions'!$D$33:$F$33,1,D280)</f>
        <v>209071.214210959</v>
      </c>
      <c r="J280" s="81" t="n">
        <f aca="false">H280*'W Sites'!$K$10/(1+'W Assumptions'!$D$39)*INDEX('W Assumptions'!$D$12:$F$12,1,D280)*INDEX('W Assumptions'!$D$33:$F$33,1,D280)</f>
        <v>25731.8417490411</v>
      </c>
      <c r="K280" s="81" t="n">
        <f aca="false">'W Sites'!$L$10*F280*IF(((YEAR(C280)-YEAR('W Sites'!$F$10))*12+MONTH(C280)-MONTH('W Sites'!$F$10))=0,'W Assumptions'!$D$62,IF(((YEAR(C280)-YEAR('W Sites'!$F$10))*12+MONTH(C280)-MONTH('W Sites'!$F$10))=1,'W Assumptions'!$D$63,1))*INDEX('W Assumptions'!$D$7:$F$7,1,D280)*INDEX('W Assumptions'!$D$32:$F$32,1,D280)</f>
        <v>21384</v>
      </c>
      <c r="L280" s="81" t="n">
        <f aca="false">SUM(I280:K280)</f>
        <v>256187.05596</v>
      </c>
      <c r="M280" s="81" t="n">
        <f aca="false">'W Site Costs'!$I$10*F280*INDEX('W Assumptions'!$D$34:$F$34,1,D280)*INDEX('W Assumptions'!$D$22:$F$22,1,D280)</f>
        <v>52948.665</v>
      </c>
      <c r="N280" s="81" t="n">
        <f aca="false">'W Site Costs'!$J$10*F280*INDEX('W Assumptions'!$D$35:$F$35,1,D280)*INDEX('W Assumptions'!$D$22:$F$22,1,D280)</f>
        <v>32448</v>
      </c>
      <c r="O280" s="81" t="n">
        <f aca="false">L280*'W Site Costs'!$K$10</f>
        <v>0</v>
      </c>
      <c r="P280" s="81" t="n">
        <f aca="false">SUM('W Site Costs'!$L$10:$Q$10)*F280*INDEX('W Assumptions'!$D$35:$F$35,1,D280)*INDEX('W Assumptions'!$D$22:$F$22,1,D280)</f>
        <v>20550.4</v>
      </c>
      <c r="Q280" s="81" t="n">
        <f aca="false">L280*'W Site Costs'!$R$10*INDEX('W Assumptions'!$D$17:$F$17,1,D280)</f>
        <v>20494.9644768</v>
      </c>
      <c r="R280" s="112" t="n">
        <f aca="false">L280*'W Sites'!$M$10</f>
        <v>0</v>
      </c>
      <c r="S280" s="81" t="n">
        <f aca="false">SUM(M280:R280)</f>
        <v>126442.0294768</v>
      </c>
      <c r="T280" s="81" t="n">
        <f aca="false">L280-S280</f>
        <v>129745.0264832</v>
      </c>
      <c r="U280" s="81" t="n">
        <f aca="false">IF(C280='W Budget &amp; Owners'!$I$10,'W Budget &amp; Owners'!$F$10*'W Sites'!$G$10,0)</f>
        <v>0</v>
      </c>
      <c r="V280" s="81" t="n">
        <f aca="false">'W Sites'!$G$10*'W Budget &amp; Owners'!$E$10*INDEX('W Assumptions'!$D$27:$F$27,1,D280)*(IF(C280='W Budget &amp; Owners'!$I$10,'W Assumptions'!$D$65,0)+IF(C280=DATE(YEAR('W Sites'!$F$10),MONTH('W Sites'!$F$10),1),1-'W Assumptions'!$D$65,0))+'W Sites'!$G$10*'W Budget &amp; Owners'!$E$10*IF(C280=DATE(2027,9,1),'W Assumptions'!$D$67,IF(C280=DATE(2028,9,1),'W Assumptions'!$D$69,0))</f>
        <v>0</v>
      </c>
      <c r="W280" s="81" t="n">
        <f aca="false">IF(((YEAR(C280)-YEAR('W Sites'!$F$10))*12+MONTH(C280)-MONTH('W Sites'!$F$10))&lt;'W Budget &amp; Owners'!$H$10,'W Budget &amp; Owners'!$E$10/'W Budget &amp; Owners'!$H$10*F280,0)+IF(C280&gt;=DATE(2027,9,1),'W Budget &amp; Owners'!$E$10*'W Assumptions'!$D$67/'W Budget &amp; Owners'!$H$10*F280,0)+IF(C280&gt;=DATE(2028,9,1),'W Budget &amp; Owners'!$E$10*'W Assumptions'!$D$69/'W Budget &amp; Owners'!$H$10*F280,0)</f>
        <v>13125</v>
      </c>
      <c r="X280" s="81" t="n">
        <f aca="false">IF(C280='W Budget &amp; Owners'!$I$10,'W Budget &amp; Owners'!$G$10*'W Sites'!$G$10,0)</f>
        <v>0</v>
      </c>
      <c r="Y280" s="112" t="n">
        <f aca="false">IF(SUM($G$276:$G$285)=0,0,'W Fees &amp; KPI'!$Q$33*G280/SUM($G$276:$G$285))</f>
        <v>6481.54896371583</v>
      </c>
      <c r="Z280" s="119" t="n">
        <f aca="false">IF(SUM($G$276:$G$285)=0,0,SUM('W Fees &amp; KPI'!$J$33,'W Fees &amp; KPI'!$M$33)*G280/SUM($G$276:$G$285))</f>
        <v>5223.75</v>
      </c>
      <c r="AA280" s="117" t="n">
        <f aca="false">T280-U280-Z280-Y280</f>
        <v>118039.727519484</v>
      </c>
      <c r="AB280" s="119" t="n">
        <f aca="false">IF('W Fees &amp; KPI'!$D$33=0,0,T280-U280-Z280)</f>
        <v>124521.2764832</v>
      </c>
    </row>
    <row r="281" customFormat="false" ht="21" hidden="false" customHeight="true" outlineLevel="0" collapsed="false">
      <c r="C281" s="144" t="n">
        <f aca="false">47088</f>
        <v>47088</v>
      </c>
      <c r="D281" s="81" t="n">
        <f aca="false">3</f>
        <v>3</v>
      </c>
      <c r="E281" s="81" t="str">
        <f aca="false">'W Sites'!C11</f>
        <v>S06</v>
      </c>
      <c r="F281" s="145" t="n">
        <f aca="false">'W Sites'!$G$11*MAX(0,EOMONTH(C281,0)-MAX(C281,'W Sites'!$F$11)+1)/DAY(EOMONTH(C281,0))</f>
        <v>1</v>
      </c>
      <c r="G281" s="145" t="n">
        <f aca="false">'W Sites'!$G$11*MAX(0,EOMONTH(C281,0)-MAX(C281,'W Sites'!$F$11,'W Assumptions'!$D$58)+1)/DAY(EOMONTH(C281,0))</f>
        <v>1</v>
      </c>
      <c r="H281" s="81" t="n">
        <f aca="false">'W Sites'!$H$11*F281*'W Sites'!$I$11*IF(((YEAR(C281)-YEAR('W Sites'!$F$11))*12+MONTH(C281)-MONTH('W Sites'!$F$11))=0,'W Assumptions'!$D$62,IF(((YEAR(C281)-YEAR('W Sites'!$F$11))*12+MONTH(C281)-MONTH('W Sites'!$F$11))=1,'W Assumptions'!$D$63,1))*INDEX('W Assumptions'!$D$7:$F$7,1,D281)*INDEX('W Assumptions'!$D$32:$F$32,1,D281)*INDEX('W Assumptions'!$D$80:$D$91,MONTH(C281),1)/AVERAGE('W Assumptions'!$D$80:$D$91)</f>
        <v>1065.636</v>
      </c>
      <c r="I281" s="81" t="n">
        <f aca="false">H281*'W Sites'!$J$11/(1+'W Assumptions'!$D$39)*INDEX('W Assumptions'!$D$12:$F$12,1,D281)*INDEX('W Assumptions'!$D$33:$F$33,1,D281)</f>
        <v>58984.34256</v>
      </c>
      <c r="J281" s="81" t="n">
        <f aca="false">H281*'W Sites'!$K$11/(1+'W Assumptions'!$D$39)*INDEX('W Assumptions'!$D$12:$F$12,1,D281)*INDEX('W Assumptions'!$D$33:$F$33,1,D281)</f>
        <v>2949.217128</v>
      </c>
      <c r="K281" s="81" t="n">
        <f aca="false">'W Sites'!$L$11*F281*IF(((YEAR(C281)-YEAR('W Sites'!$F$11))*12+MONTH(C281)-MONTH('W Sites'!$F$11))=0,'W Assumptions'!$D$62,IF(((YEAR(C281)-YEAR('W Sites'!$F$11))*12+MONTH(C281)-MONTH('W Sites'!$F$11))=1,'W Assumptions'!$D$63,1))*INDEX('W Assumptions'!$D$7:$F$7,1,D281)*INDEX('W Assumptions'!$D$32:$F$32,1,D281)</f>
        <v>23760</v>
      </c>
      <c r="L281" s="81" t="n">
        <f aca="false">SUM(I281:K281)</f>
        <v>85693.559688</v>
      </c>
      <c r="M281" s="81" t="n">
        <f aca="false">'W Site Costs'!$I$11*F281*INDEX('W Assumptions'!$D$34:$F$34,1,D281)*INDEX('W Assumptions'!$D$22:$F$22,1,D281)</f>
        <v>26279.19</v>
      </c>
      <c r="N281" s="81" t="n">
        <f aca="false">'W Site Costs'!$J$11*F281*INDEX('W Assumptions'!$D$35:$F$35,1,D281)*INDEX('W Assumptions'!$D$22:$F$22,1,D281)</f>
        <v>5408</v>
      </c>
      <c r="O281" s="81" t="n">
        <f aca="false">L281*'W Site Costs'!$K$11</f>
        <v>0</v>
      </c>
      <c r="P281" s="81" t="n">
        <f aca="false">SUM('W Site Costs'!$L$11:$Q$11)*F281*INDEX('W Assumptions'!$D$35:$F$35,1,D281)*INDEX('W Assumptions'!$D$22:$F$22,1,D281)</f>
        <v>8652.8</v>
      </c>
      <c r="Q281" s="81" t="n">
        <f aca="false">L281*'W Site Costs'!$R$11*INDEX('W Assumptions'!$D$17:$F$17,1,D281)</f>
        <v>8569.3559688</v>
      </c>
      <c r="R281" s="112" t="n">
        <f aca="false">L281*'W Sites'!$M$11</f>
        <v>0</v>
      </c>
      <c r="S281" s="81" t="n">
        <f aca="false">SUM(M281:R281)</f>
        <v>48909.3459688</v>
      </c>
      <c r="T281" s="81" t="n">
        <f aca="false">L281-S281</f>
        <v>36784.2137192</v>
      </c>
      <c r="U281" s="81" t="n">
        <f aca="false">IF(C281='W Budget &amp; Owners'!$I$11,'W Budget &amp; Owners'!$F$11*'W Sites'!$G$11,0)</f>
        <v>0</v>
      </c>
      <c r="V281" s="81" t="n">
        <f aca="false">'W Sites'!$G$11*'W Budget &amp; Owners'!$E$11*INDEX('W Assumptions'!$D$27:$F$27,1,D281)*(IF(C281='W Budget &amp; Owners'!$I$11,'W Assumptions'!$D$65,0)+IF(C281=DATE(YEAR('W Sites'!$F$11),MONTH('W Sites'!$F$11),1),1-'W Assumptions'!$D$65,0))+'W Sites'!$G$11*'W Budget &amp; Owners'!$E$11*IF(C281=DATE(2027,9,1),'W Assumptions'!$D$67,IF(C281=DATE(2028,9,1),'W Assumptions'!$D$69,0))</f>
        <v>0</v>
      </c>
      <c r="W281" s="81" t="n">
        <f aca="false">IF(((YEAR(C281)-YEAR('W Sites'!$F$11))*12+MONTH(C281)-MONTH('W Sites'!$F$11))&lt;'W Budget &amp; Owners'!$H$11,'W Budget &amp; Owners'!$E$11/'W Budget &amp; Owners'!$H$11*F281,0)+IF(C281&gt;=DATE(2027,9,1),'W Budget &amp; Owners'!$E$11*'W Assumptions'!$D$67/'W Budget &amp; Owners'!$H$11*F281,0)+IF(C281&gt;=DATE(2028,9,1),'W Budget &amp; Owners'!$E$11*'W Assumptions'!$D$69/'W Budget &amp; Owners'!$H$11*F281,0)</f>
        <v>2625</v>
      </c>
      <c r="X281" s="81" t="n">
        <f aca="false">IF(C281='W Budget &amp; Owners'!$I$11,'W Budget &amp; Owners'!$G$11*'W Sites'!$G$11,0)</f>
        <v>0</v>
      </c>
      <c r="Y281" s="112" t="n">
        <f aca="false">IF(SUM($G$276:$G$285)=0,0,'W Fees &amp; KPI'!$Q$33*G281/SUM($G$276:$G$285))</f>
        <v>6481.54896371583</v>
      </c>
      <c r="Z281" s="119" t="n">
        <f aca="false">IF(SUM($G$276:$G$285)=0,0,SUM('W Fees &amp; KPI'!$J$33,'W Fees &amp; KPI'!$M$33)*G281/SUM($G$276:$G$285))</f>
        <v>5223.75</v>
      </c>
      <c r="AA281" s="117" t="n">
        <f aca="false">T281-U281-Z281-Y281</f>
        <v>25078.9147554842</v>
      </c>
      <c r="AB281" s="119" t="n">
        <f aca="false">IF('W Fees &amp; KPI'!$D$33=0,0,T281-U281-Z281)</f>
        <v>31560.4637192</v>
      </c>
    </row>
    <row r="282" customFormat="false" ht="21" hidden="false" customHeight="true" outlineLevel="0" collapsed="false">
      <c r="C282" s="144" t="n">
        <f aca="false">47088</f>
        <v>47088</v>
      </c>
      <c r="D282" s="81" t="n">
        <f aca="false">3</f>
        <v>3</v>
      </c>
      <c r="E282" s="81" t="str">
        <f aca="false">'W Sites'!C12</f>
        <v>S07</v>
      </c>
      <c r="F282" s="145" t="n">
        <f aca="false">'W Sites'!$G$12*MAX(0,EOMONTH(C282,0)-MAX(C282,'W Sites'!$F$12)+1)/DAY(EOMONTH(C282,0))</f>
        <v>1</v>
      </c>
      <c r="G282" s="145" t="n">
        <f aca="false">'W Sites'!$G$12*MAX(0,EOMONTH(C282,0)-MAX(C282,'W Sites'!$F$12,'W Assumptions'!$D$58)+1)/DAY(EOMONTH(C282,0))</f>
        <v>1</v>
      </c>
      <c r="H282" s="81" t="n">
        <f aca="false">'W Sites'!$H$12*F282*'W Sites'!$I$12*IF(((YEAR(C282)-YEAR('W Sites'!$F$12))*12+MONTH(C282)-MONTH('W Sites'!$F$12))=0,'W Assumptions'!$D$62,IF(((YEAR(C282)-YEAR('W Sites'!$F$12))*12+MONTH(C282)-MONTH('W Sites'!$F$12))=1,'W Assumptions'!$D$63,1))*INDEX('W Assumptions'!$D$7:$F$7,1,D282)*INDEX('W Assumptions'!$D$32:$F$32,1,D282)*INDEX('W Assumptions'!$D$80:$D$91,MONTH(C282),1)/AVERAGE('W Assumptions'!$D$80:$D$91)</f>
        <v>1243.242</v>
      </c>
      <c r="I282" s="81" t="n">
        <f aca="false">H282*'W Sites'!$J$12/(1+'W Assumptions'!$D$39)*INDEX('W Assumptions'!$D$12:$F$12,1,D282)*INDEX('W Assumptions'!$D$33:$F$33,1,D282)</f>
        <v>68815.06632</v>
      </c>
      <c r="J282" s="81" t="n">
        <f aca="false">H282*'W Sites'!$K$12/(1+'W Assumptions'!$D$39)*INDEX('W Assumptions'!$D$12:$F$12,1,D282)*INDEX('W Assumptions'!$D$33:$F$33,1,D282)</f>
        <v>3440.753316</v>
      </c>
      <c r="K282" s="81" t="n">
        <f aca="false">'W Sites'!$L$12*F282*IF(((YEAR(C282)-YEAR('W Sites'!$F$12))*12+MONTH(C282)-MONTH('W Sites'!$F$12))=0,'W Assumptions'!$D$62,IF(((YEAR(C282)-YEAR('W Sites'!$F$12))*12+MONTH(C282)-MONTH('W Sites'!$F$12))=1,'W Assumptions'!$D$63,1))*INDEX('W Assumptions'!$D$7:$F$7,1,D282)*INDEX('W Assumptions'!$D$32:$F$32,1,D282)</f>
        <v>21384</v>
      </c>
      <c r="L282" s="81" t="n">
        <f aca="false">SUM(I282:K282)</f>
        <v>93639.819636</v>
      </c>
      <c r="M282" s="81" t="n">
        <f aca="false">'W Site Costs'!$I$12*F282*INDEX('W Assumptions'!$D$34:$F$34,1,D282)*INDEX('W Assumptions'!$D$22:$F$22,1,D282)</f>
        <v>26279.19</v>
      </c>
      <c r="N282" s="81" t="n">
        <f aca="false">'W Site Costs'!$J$12*F282*INDEX('W Assumptions'!$D$35:$F$35,1,D282)*INDEX('W Assumptions'!$D$22:$F$22,1,D282)</f>
        <v>8652.8</v>
      </c>
      <c r="O282" s="81" t="n">
        <f aca="false">L282*'W Site Costs'!$K$12</f>
        <v>0</v>
      </c>
      <c r="P282" s="81" t="n">
        <f aca="false">SUM('W Site Costs'!$L$12:$Q$12)*F282*INDEX('W Assumptions'!$D$35:$F$35,1,D282)*INDEX('W Assumptions'!$D$22:$F$22,1,D282)</f>
        <v>9193.6</v>
      </c>
      <c r="Q282" s="81" t="n">
        <f aca="false">L282*'W Site Costs'!$R$12*INDEX('W Assumptions'!$D$17:$F$17,1,D282)</f>
        <v>9363.9819636</v>
      </c>
      <c r="R282" s="112" t="n">
        <f aca="false">L282*'W Sites'!$M$12</f>
        <v>0</v>
      </c>
      <c r="S282" s="81" t="n">
        <f aca="false">SUM(M282:R282)</f>
        <v>53489.5719636</v>
      </c>
      <c r="T282" s="81" t="n">
        <f aca="false">L282-S282</f>
        <v>40150.2476724</v>
      </c>
      <c r="U282" s="81" t="n">
        <f aca="false">IF(C282='W Budget &amp; Owners'!$I$12,'W Budget &amp; Owners'!$F$12*'W Sites'!$G$12,0)</f>
        <v>0</v>
      </c>
      <c r="V282" s="81" t="n">
        <f aca="false">'W Sites'!$G$12*'W Budget &amp; Owners'!$E$12*INDEX('W Assumptions'!$D$27:$F$27,1,D282)*(IF(C282='W Budget &amp; Owners'!$I$12,'W Assumptions'!$D$65,0)+IF(C282=DATE(YEAR('W Sites'!$F$12),MONTH('W Sites'!$F$12),1),1-'W Assumptions'!$D$65,0))+'W Sites'!$G$12*'W Budget &amp; Owners'!$E$12*IF(C282=DATE(2027,9,1),'W Assumptions'!$D$67,IF(C282=DATE(2028,9,1),'W Assumptions'!$D$69,0))</f>
        <v>0</v>
      </c>
      <c r="W282" s="81" t="n">
        <f aca="false">IF(((YEAR(C282)-YEAR('W Sites'!$F$12))*12+MONTH(C282)-MONTH('W Sites'!$F$12))&lt;'W Budget &amp; Owners'!$H$12,'W Budget &amp; Owners'!$E$12/'W Budget &amp; Owners'!$H$12*F282,0)+IF(C282&gt;=DATE(2027,9,1),'W Budget &amp; Owners'!$E$12*'W Assumptions'!$D$67/'W Budget &amp; Owners'!$H$12*F282,0)+IF(C282&gt;=DATE(2028,9,1),'W Budget &amp; Owners'!$E$12*'W Assumptions'!$D$69/'W Budget &amp; Owners'!$H$12*F282,0)</f>
        <v>7875</v>
      </c>
      <c r="X282" s="81" t="n">
        <f aca="false">IF(C282='W Budget &amp; Owners'!$I$12,'W Budget &amp; Owners'!$G$12*'W Sites'!$G$12,0)</f>
        <v>0</v>
      </c>
      <c r="Y282" s="112" t="n">
        <f aca="false">IF(SUM($G$276:$G$285)=0,0,'W Fees &amp; KPI'!$Q$33*G282/SUM($G$276:$G$285))</f>
        <v>6481.54896371583</v>
      </c>
      <c r="Z282" s="119" t="n">
        <f aca="false">IF(SUM($G$276:$G$285)=0,0,SUM('W Fees &amp; KPI'!$J$33,'W Fees &amp; KPI'!$M$33)*G282/SUM($G$276:$G$285))</f>
        <v>5223.75</v>
      </c>
      <c r="AA282" s="117" t="n">
        <f aca="false">T282-U282-Z282-Y282</f>
        <v>28444.9487086842</v>
      </c>
      <c r="AB282" s="119" t="n">
        <f aca="false">IF('W Fees &amp; KPI'!$D$33=0,0,T282-U282-Z282)</f>
        <v>34926.4976724</v>
      </c>
    </row>
    <row r="283" customFormat="false" ht="21" hidden="false" customHeight="true" outlineLevel="0" collapsed="false">
      <c r="C283" s="144" t="n">
        <f aca="false">47088</f>
        <v>47088</v>
      </c>
      <c r="D283" s="81" t="n">
        <f aca="false">3</f>
        <v>3</v>
      </c>
      <c r="E283" s="81" t="str">
        <f aca="false">'W Sites'!C13</f>
        <v>S08</v>
      </c>
      <c r="F283" s="145" t="n">
        <f aca="false">'W Sites'!$G$13*MAX(0,EOMONTH(C283,0)-MAX(C283,'W Sites'!$F$13)+1)/DAY(EOMONTH(C283,0))</f>
        <v>1</v>
      </c>
      <c r="G283" s="145" t="n">
        <f aca="false">'W Sites'!$G$13*MAX(0,EOMONTH(C283,0)-MAX(C283,'W Sites'!$F$13,'W Assumptions'!$D$58)+1)/DAY(EOMONTH(C283,0))</f>
        <v>1</v>
      </c>
      <c r="H283" s="81" t="n">
        <f aca="false">'W Sites'!$H$13*F283*'W Sites'!$I$13*IF(((YEAR(C283)-YEAR('W Sites'!$F$13))*12+MONTH(C283)-MONTH('W Sites'!$F$13))=0,'W Assumptions'!$D$62,IF(((YEAR(C283)-YEAR('W Sites'!$F$13))*12+MONTH(C283)-MONTH('W Sites'!$F$13))=1,'W Assumptions'!$D$63,1))*INDEX('W Assumptions'!$D$7:$F$7,1,D283)*INDEX('W Assumptions'!$D$32:$F$32,1,D283)*INDEX('W Assumptions'!$D$80:$D$91,MONTH(C283),1)/AVERAGE('W Assumptions'!$D$80:$D$91)</f>
        <v>5328.18</v>
      </c>
      <c r="I283" s="81" t="n">
        <f aca="false">H283*'W Sites'!$J$13/(1+'W Assumptions'!$D$39)*INDEX('W Assumptions'!$D$12:$F$12,1,D283)*INDEX('W Assumptions'!$D$33:$F$33,1,D283)</f>
        <v>196614.4752</v>
      </c>
      <c r="J283" s="81" t="n">
        <f aca="false">H283*'W Sites'!$K$13/(1+'W Assumptions'!$D$39)*INDEX('W Assumptions'!$D$12:$F$12,1,D283)*INDEX('W Assumptions'!$D$33:$F$33,1,D283)</f>
        <v>24576.8094</v>
      </c>
      <c r="K283" s="81" t="n">
        <f aca="false">'W Sites'!$L$13*F283*IF(((YEAR(C283)-YEAR('W Sites'!$F$13))*12+MONTH(C283)-MONTH('W Sites'!$F$13))=0,'W Assumptions'!$D$62,IF(((YEAR(C283)-YEAR('W Sites'!$F$13))*12+MONTH(C283)-MONTH('W Sites'!$F$13))=1,'W Assumptions'!$D$63,1))*INDEX('W Assumptions'!$D$7:$F$7,1,D283)*INDEX('W Assumptions'!$D$32:$F$32,1,D283)</f>
        <v>17820</v>
      </c>
      <c r="L283" s="81" t="n">
        <f aca="false">SUM(I283:K283)</f>
        <v>239011.2846</v>
      </c>
      <c r="M283" s="81" t="n">
        <f aca="false">'W Site Costs'!$I$13*F283*INDEX('W Assumptions'!$D$34:$F$34,1,D283)*INDEX('W Assumptions'!$D$22:$F$22,1,D283)</f>
        <v>58802.94</v>
      </c>
      <c r="N283" s="81" t="n">
        <f aca="false">'W Site Costs'!$J$13*F283*INDEX('W Assumptions'!$D$35:$F$35,1,D283)*INDEX('W Assumptions'!$D$22:$F$22,1,D283)</f>
        <v>0</v>
      </c>
      <c r="O283" s="81" t="n">
        <f aca="false">L283*'W Site Costs'!$K$13</f>
        <v>23901.12846</v>
      </c>
      <c r="P283" s="81" t="n">
        <f aca="false">SUM('W Site Costs'!$L$13:$Q$13)*F283*INDEX('W Assumptions'!$D$35:$F$35,1,D283)*INDEX('W Assumptions'!$D$22:$F$22,1,D283)</f>
        <v>27580.8</v>
      </c>
      <c r="Q283" s="81" t="n">
        <f aca="false">L283*'W Site Costs'!$R$13*INDEX('W Assumptions'!$D$17:$F$17,1,D283)</f>
        <v>19120.902768</v>
      </c>
      <c r="R283" s="112" t="n">
        <f aca="false">L283*'W Sites'!$M$13</f>
        <v>0</v>
      </c>
      <c r="S283" s="81" t="n">
        <f aca="false">SUM(M283:R283)</f>
        <v>129405.771228</v>
      </c>
      <c r="T283" s="81" t="n">
        <f aca="false">L283-S283</f>
        <v>109605.513372</v>
      </c>
      <c r="U283" s="81" t="n">
        <f aca="false">IF(C283='W Budget &amp; Owners'!$I$13,'W Budget &amp; Owners'!$F$13*'W Sites'!$G$13,0)</f>
        <v>0</v>
      </c>
      <c r="V283" s="81" t="n">
        <f aca="false">'W Sites'!$G$13*'W Budget &amp; Owners'!$E$13*INDEX('W Assumptions'!$D$27:$F$27,1,D283)*(IF(C283='W Budget &amp; Owners'!$I$13,'W Assumptions'!$D$65,0)+IF(C283=DATE(YEAR('W Sites'!$F$13),MONTH('W Sites'!$F$13),1),1-'W Assumptions'!$D$65,0))+'W Sites'!$G$13*'W Budget &amp; Owners'!$E$13*IF(C283=DATE(2027,9,1),'W Assumptions'!$D$67,IF(C283=DATE(2028,9,1),'W Assumptions'!$D$69,0))</f>
        <v>0</v>
      </c>
      <c r="W283" s="81" t="n">
        <f aca="false">IF(((YEAR(C283)-YEAR('W Sites'!$F$13))*12+MONTH(C283)-MONTH('W Sites'!$F$13))&lt;'W Budget &amp; Owners'!$H$13,'W Budget &amp; Owners'!$E$13/'W Budget &amp; Owners'!$H$13*F283,0)+IF(C283&gt;=DATE(2027,9,1),'W Budget &amp; Owners'!$E$13*'W Assumptions'!$D$67/'W Budget &amp; Owners'!$H$13*F283,0)+IF(C283&gt;=DATE(2028,9,1),'W Budget &amp; Owners'!$E$13*'W Assumptions'!$D$69/'W Budget &amp; Owners'!$H$13*F283,0)</f>
        <v>21000</v>
      </c>
      <c r="X283" s="81" t="n">
        <f aca="false">IF(C283='W Budget &amp; Owners'!$I$13,'W Budget &amp; Owners'!$G$13*'W Sites'!$G$13,0)</f>
        <v>0</v>
      </c>
      <c r="Y283" s="112" t="n">
        <f aca="false">IF(SUM($G$276:$G$285)=0,0,'W Fees &amp; KPI'!$Q$33*G283/SUM($G$276:$G$285))</f>
        <v>6481.54896371583</v>
      </c>
      <c r="Z283" s="119" t="n">
        <f aca="false">IF(SUM($G$276:$G$285)=0,0,SUM('W Fees &amp; KPI'!$J$33,'W Fees &amp; KPI'!$M$33)*G283/SUM($G$276:$G$285))</f>
        <v>5223.75</v>
      </c>
      <c r="AA283" s="117" t="n">
        <f aca="false">T283-U283-Z283-Y283</f>
        <v>97900.2144082842</v>
      </c>
      <c r="AB283" s="119" t="n">
        <f aca="false">IF('W Fees &amp; KPI'!$D$33=0,0,T283-U283-Z283)</f>
        <v>104381.763372</v>
      </c>
    </row>
    <row r="284" customFormat="false" ht="21" hidden="false" customHeight="true" outlineLevel="0" collapsed="false">
      <c r="C284" s="144" t="n">
        <f aca="false">47088</f>
        <v>47088</v>
      </c>
      <c r="D284" s="81" t="n">
        <f aca="false">3</f>
        <v>3</v>
      </c>
      <c r="E284" s="81" t="str">
        <f aca="false">'W Sites'!C14</f>
        <v>S09</v>
      </c>
      <c r="F284" s="145" t="n">
        <f aca="false">'W Sites'!$G$14*MAX(0,EOMONTH(C284,0)-MAX(C284,'W Sites'!$F$14)+1)/DAY(EOMONTH(C284,0))</f>
        <v>0</v>
      </c>
      <c r="G284" s="145" t="n">
        <f aca="false">'W Sites'!$G$14*MAX(0,EOMONTH(C284,0)-MAX(C284,'W Sites'!$F$14,'W Assumptions'!$D$58)+1)/DAY(EOMONTH(C284,0))</f>
        <v>0</v>
      </c>
      <c r="H284" s="81" t="n">
        <f aca="false">'W Sites'!$H$14*F284*'W Sites'!$I$14*IF(((YEAR(C284)-YEAR('W Sites'!$F$14))*12+MONTH(C284)-MONTH('W Sites'!$F$14))=0,'W Assumptions'!$D$62,IF(((YEAR(C284)-YEAR('W Sites'!$F$14))*12+MONTH(C284)-MONTH('W Sites'!$F$14))=1,'W Assumptions'!$D$63,1))*INDEX('W Assumptions'!$D$7:$F$7,1,D284)*INDEX('W Assumptions'!$D$32:$F$32,1,D284)*INDEX('W Assumptions'!$D$80:$D$91,MONTH(C284),1)/AVERAGE('W Assumptions'!$D$80:$D$91)</f>
        <v>0</v>
      </c>
      <c r="I284" s="81" t="n">
        <f aca="false">H284*'W Sites'!$J$14/(1+'W Assumptions'!$D$39)*INDEX('W Assumptions'!$D$12:$F$12,1,D284)*INDEX('W Assumptions'!$D$33:$F$33,1,D284)</f>
        <v>0</v>
      </c>
      <c r="J284" s="81" t="n">
        <f aca="false">H284*'W Sites'!$K$14/(1+'W Assumptions'!$D$39)*INDEX('W Assumptions'!$D$12:$F$12,1,D284)*INDEX('W Assumptions'!$D$33:$F$33,1,D284)</f>
        <v>0</v>
      </c>
      <c r="K284" s="81" t="n">
        <f aca="false">'W Sites'!$L$14*F284*IF(((YEAR(C284)-YEAR('W Sites'!$F$14))*12+MONTH(C284)-MONTH('W Sites'!$F$14))=0,'W Assumptions'!$D$62,IF(((YEAR(C284)-YEAR('W Sites'!$F$14))*12+MONTH(C284)-MONTH('W Sites'!$F$14))=1,'W Assumptions'!$D$63,1))*INDEX('W Assumptions'!$D$7:$F$7,1,D284)*INDEX('W Assumptions'!$D$32:$F$32,1,D284)</f>
        <v>0</v>
      </c>
      <c r="L284" s="81" t="n">
        <f aca="false">SUM(I284:K284)</f>
        <v>0</v>
      </c>
      <c r="M284" s="81" t="n">
        <f aca="false">'W Site Costs'!$I$14*F284*INDEX('W Assumptions'!$D$34:$F$34,1,D284)*INDEX('W Assumptions'!$D$22:$F$22,1,D284)</f>
        <v>0</v>
      </c>
      <c r="N284" s="81" t="n">
        <f aca="false">'W Site Costs'!$J$14*F284*INDEX('W Assumptions'!$D$35:$F$35,1,D284)*INDEX('W Assumptions'!$D$22:$F$22,1,D284)</f>
        <v>0</v>
      </c>
      <c r="O284" s="81" t="n">
        <f aca="false">L284*'W Site Costs'!$K$14</f>
        <v>0</v>
      </c>
      <c r="P284" s="81" t="n">
        <f aca="false">SUM('W Site Costs'!$L$14:$Q$14)*F284*INDEX('W Assumptions'!$D$35:$F$35,1,D284)*INDEX('W Assumptions'!$D$22:$F$22,1,D284)</f>
        <v>0</v>
      </c>
      <c r="Q284" s="81" t="n">
        <f aca="false">L284*'W Site Costs'!$R$14*INDEX('W Assumptions'!$D$17:$F$17,1,D284)</f>
        <v>0</v>
      </c>
      <c r="R284" s="112" t="n">
        <f aca="false">L284*'W Sites'!$M$14</f>
        <v>0</v>
      </c>
      <c r="S284" s="81" t="n">
        <f aca="false">SUM(M284:R284)</f>
        <v>0</v>
      </c>
      <c r="T284" s="81" t="n">
        <f aca="false">L284-S284</f>
        <v>0</v>
      </c>
      <c r="U284" s="81" t="n">
        <f aca="false">IF(C284='W Budget &amp; Owners'!$I$14,'W Budget &amp; Owners'!$F$14*'W Sites'!$G$14,0)</f>
        <v>0</v>
      </c>
      <c r="V284" s="81" t="n">
        <f aca="false">'W Sites'!$G$14*'W Budget &amp; Owners'!$E$14*INDEX('W Assumptions'!$D$27:$F$27,1,D284)*(IF(C284='W Budget &amp; Owners'!$I$14,'W Assumptions'!$D$65,0)+IF(C284=DATE(YEAR('W Sites'!$F$14),MONTH('W Sites'!$F$14),1),1-'W Assumptions'!$D$65,0))+'W Sites'!$G$14*'W Budget &amp; Owners'!$E$14*IF(C284=DATE(2027,9,1),'W Assumptions'!$D$67,IF(C284=DATE(2028,9,1),'W Assumptions'!$D$69,0))</f>
        <v>0</v>
      </c>
      <c r="W284" s="81" t="n">
        <f aca="false">IF(((YEAR(C284)-YEAR('W Sites'!$F$14))*12+MONTH(C284)-MONTH('W Sites'!$F$14))&lt;'W Budget &amp; Owners'!$H$14,'W Budget &amp; Owners'!$E$14/'W Budget &amp; Owners'!$H$14*F284,0)+IF(C284&gt;=DATE(2027,9,1),'W Budget &amp; Owners'!$E$14*'W Assumptions'!$D$67/'W Budget &amp; Owners'!$H$14*F284,0)+IF(C284&gt;=DATE(2028,9,1),'W Budget &amp; Owners'!$E$14*'W Assumptions'!$D$69/'W Budget &amp; Owners'!$H$14*F284,0)</f>
        <v>0</v>
      </c>
      <c r="X284" s="81" t="n">
        <f aca="false">IF(C284='W Budget &amp; Owners'!$I$14,'W Budget &amp; Owners'!$G$14*'W Sites'!$G$14,0)</f>
        <v>0</v>
      </c>
      <c r="Y284" s="112" t="n">
        <f aca="false">IF(SUM($G$276:$G$285)=0,0,'W Fees &amp; KPI'!$Q$33*G284/SUM($G$276:$G$285))</f>
        <v>0</v>
      </c>
      <c r="Z284" s="119" t="n">
        <f aca="false">IF(SUM($G$276:$G$285)=0,0,SUM('W Fees &amp; KPI'!$J$33,'W Fees &amp; KPI'!$M$33)*G284/SUM($G$276:$G$285))</f>
        <v>0</v>
      </c>
      <c r="AA284" s="117" t="n">
        <f aca="false">T284-U284-Z284-Y284</f>
        <v>0</v>
      </c>
      <c r="AB284" s="119" t="n">
        <f aca="false">IF('W Fees &amp; KPI'!$D$33=0,0,T284-U284-Z284)</f>
        <v>0</v>
      </c>
    </row>
    <row r="285" customFormat="false" ht="21" hidden="false" customHeight="true" outlineLevel="0" collapsed="false">
      <c r="C285" s="144" t="n">
        <f aca="false">47088</f>
        <v>47088</v>
      </c>
      <c r="D285" s="81" t="n">
        <f aca="false">3</f>
        <v>3</v>
      </c>
      <c r="E285" s="81" t="str">
        <f aca="false">'W Sites'!C15</f>
        <v>S10</v>
      </c>
      <c r="F285" s="145" t="n">
        <f aca="false">'W Sites'!$G$15*MAX(0,EOMONTH(C285,0)-MAX(C285,'W Sites'!$F$15)+1)/DAY(EOMONTH(C285,0))</f>
        <v>0</v>
      </c>
      <c r="G285" s="145" t="n">
        <f aca="false">'W Sites'!$G$15*MAX(0,EOMONTH(C285,0)-MAX(C285,'W Sites'!$F$15,'W Assumptions'!$D$58)+1)/DAY(EOMONTH(C285,0))</f>
        <v>0</v>
      </c>
      <c r="H285" s="81" t="n">
        <f aca="false">'W Sites'!$H$15*F285*'W Sites'!$I$15*IF(((YEAR(C285)-YEAR('W Sites'!$F$15))*12+MONTH(C285)-MONTH('W Sites'!$F$15))=0,'W Assumptions'!$D$62,IF(((YEAR(C285)-YEAR('W Sites'!$F$15))*12+MONTH(C285)-MONTH('W Sites'!$F$15))=1,'W Assumptions'!$D$63,1))*INDEX('W Assumptions'!$D$7:$F$7,1,D285)*INDEX('W Assumptions'!$D$32:$F$32,1,D285)*INDEX('W Assumptions'!$D$80:$D$91,MONTH(C285),1)/AVERAGE('W Assumptions'!$D$80:$D$91)</f>
        <v>0</v>
      </c>
      <c r="I285" s="81" t="n">
        <f aca="false">H285*'W Sites'!$J$15/(1+'W Assumptions'!$D$39)*INDEX('W Assumptions'!$D$12:$F$12,1,D285)*INDEX('W Assumptions'!$D$33:$F$33,1,D285)</f>
        <v>0</v>
      </c>
      <c r="J285" s="81" t="n">
        <f aca="false">H285*'W Sites'!$K$15/(1+'W Assumptions'!$D$39)*INDEX('W Assumptions'!$D$12:$F$12,1,D285)*INDEX('W Assumptions'!$D$33:$F$33,1,D285)</f>
        <v>0</v>
      </c>
      <c r="K285" s="81" t="n">
        <f aca="false">'W Sites'!$L$15*F285*IF(((YEAR(C285)-YEAR('W Sites'!$F$15))*12+MONTH(C285)-MONTH('W Sites'!$F$15))=0,'W Assumptions'!$D$62,IF(((YEAR(C285)-YEAR('W Sites'!$F$15))*12+MONTH(C285)-MONTH('W Sites'!$F$15))=1,'W Assumptions'!$D$63,1))*INDEX('W Assumptions'!$D$7:$F$7,1,D285)*INDEX('W Assumptions'!$D$32:$F$32,1,D285)</f>
        <v>0</v>
      </c>
      <c r="L285" s="81" t="n">
        <f aca="false">SUM(I285:K285)</f>
        <v>0</v>
      </c>
      <c r="M285" s="81" t="n">
        <f aca="false">'W Site Costs'!$I$15*F285*INDEX('W Assumptions'!$D$34:$F$34,1,D285)*INDEX('W Assumptions'!$D$22:$F$22,1,D285)</f>
        <v>0</v>
      </c>
      <c r="N285" s="81" t="n">
        <f aca="false">'W Site Costs'!$J$15*F285*INDEX('W Assumptions'!$D$35:$F$35,1,D285)*INDEX('W Assumptions'!$D$22:$F$22,1,D285)</f>
        <v>0</v>
      </c>
      <c r="O285" s="81" t="n">
        <f aca="false">L285*'W Site Costs'!$K$15</f>
        <v>0</v>
      </c>
      <c r="P285" s="81" t="n">
        <f aca="false">SUM('W Site Costs'!$L$15:$Q$15)*F285*INDEX('W Assumptions'!$D$35:$F$35,1,D285)*INDEX('W Assumptions'!$D$22:$F$22,1,D285)</f>
        <v>0</v>
      </c>
      <c r="Q285" s="81" t="n">
        <f aca="false">L285*'W Site Costs'!$R$15*INDEX('W Assumptions'!$D$17:$F$17,1,D285)</f>
        <v>0</v>
      </c>
      <c r="R285" s="112" t="n">
        <f aca="false">L285*'W Sites'!$M$15</f>
        <v>0</v>
      </c>
      <c r="S285" s="81" t="n">
        <f aca="false">SUM(M285:R285)</f>
        <v>0</v>
      </c>
      <c r="T285" s="81" t="n">
        <f aca="false">L285-S285</f>
        <v>0</v>
      </c>
      <c r="U285" s="81" t="n">
        <f aca="false">IF(C285='W Budget &amp; Owners'!$I$15,'W Budget &amp; Owners'!$F$15*'W Sites'!$G$15,0)</f>
        <v>0</v>
      </c>
      <c r="V285" s="81" t="n">
        <f aca="false">'W Sites'!$G$15*'W Budget &amp; Owners'!$E$15*INDEX('W Assumptions'!$D$27:$F$27,1,D285)*(IF(C285='W Budget &amp; Owners'!$I$15,'W Assumptions'!$D$65,0)+IF(C285=DATE(YEAR('W Sites'!$F$15),MONTH('W Sites'!$F$15),1),1-'W Assumptions'!$D$65,0))+'W Sites'!$G$15*'W Budget &amp; Owners'!$E$15*IF(C285=DATE(2027,9,1),'W Assumptions'!$D$67,IF(C285=DATE(2028,9,1),'W Assumptions'!$D$69,0))</f>
        <v>0</v>
      </c>
      <c r="W285" s="81" t="n">
        <f aca="false">IF(((YEAR(C285)-YEAR('W Sites'!$F$15))*12+MONTH(C285)-MONTH('W Sites'!$F$15))&lt;'W Budget &amp; Owners'!$H$15,'W Budget &amp; Owners'!$E$15/'W Budget &amp; Owners'!$H$15*F285,0)+IF(C285&gt;=DATE(2027,9,1),'W Budget &amp; Owners'!$E$15*'W Assumptions'!$D$67/'W Budget &amp; Owners'!$H$15*F285,0)+IF(C285&gt;=DATE(2028,9,1),'W Budget &amp; Owners'!$E$15*'W Assumptions'!$D$69/'W Budget &amp; Owners'!$H$15*F285,0)</f>
        <v>0</v>
      </c>
      <c r="X285" s="81" t="n">
        <f aca="false">IF(C285='W Budget &amp; Owners'!$I$15,'W Budget &amp; Owners'!$G$15*'W Sites'!$G$15,0)</f>
        <v>0</v>
      </c>
      <c r="Y285" s="112" t="n">
        <f aca="false">IF(SUM($G$276:$G$285)=0,0,'W Fees &amp; KPI'!$Q$33*G285/SUM($G$276:$G$285))</f>
        <v>0</v>
      </c>
      <c r="Z285" s="119" t="n">
        <f aca="false">IF(SUM($G$276:$G$285)=0,0,SUM('W Fees &amp; KPI'!$J$33,'W Fees &amp; KPI'!$M$33)*G285/SUM($G$276:$G$285))</f>
        <v>0</v>
      </c>
      <c r="AA285" s="117" t="n">
        <f aca="false">T285-U285-Z285-Y285</f>
        <v>0</v>
      </c>
      <c r="AB285" s="119" t="n">
        <f aca="false">IF('W Fees &amp; KPI'!$D$33=0,0,T285-U285-Z285)</f>
        <v>0</v>
      </c>
    </row>
    <row r="286" customFormat="false" ht="21" hidden="false" customHeight="true" outlineLevel="0" collapsed="false">
      <c r="C286" s="144" t="n">
        <f aca="false">47119</f>
        <v>47119</v>
      </c>
      <c r="D286" s="81" t="n">
        <f aca="false">3</f>
        <v>3</v>
      </c>
      <c r="E286" s="81" t="str">
        <f aca="false">'W Sites'!C6</f>
        <v>S01</v>
      </c>
      <c r="F286" s="145" t="n">
        <f aca="false">'W Sites'!$G$6*MAX(0,EOMONTH(C286,0)-MAX(C286,'W Sites'!$F$6)+1)/DAY(EOMONTH(C286,0))</f>
        <v>1</v>
      </c>
      <c r="G286" s="145" t="n">
        <f aca="false">'W Sites'!$G$6*MAX(0,EOMONTH(C286,0)-MAX(C286,'W Sites'!$F$6,'W Assumptions'!$D$58)+1)/DAY(EOMONTH(C286,0))</f>
        <v>1</v>
      </c>
      <c r="H286" s="81" t="n">
        <f aca="false">'W Sites'!$D$45*INDEX('W Sites'!$E$65:$E$76,MONTH(C286),1)/SUM('W Sites'!$E$65:$E$76)*F286*(1+'W Sites'!$D$56)^(D286-1)*INDEX('W Assumptions'!$D$7:$F$7,1,D286)</f>
        <v>5267.4368</v>
      </c>
      <c r="I286" s="81" t="n">
        <f aca="false">H286*'W Sites'!$D$46/(1+'W Sites'!$D$54*'W Assumptions'!$D$39)*INDEX('W Assumptions'!$D$12:$F$12,1,D286)</f>
        <v>289709.024</v>
      </c>
      <c r="J286" s="81" t="n">
        <f aca="false">H286*SUM('W Sites'!$D$47:$D$49)/(1+'W Sites'!$D$54*'W Assumptions'!$D$39)*INDEX('W Assumptions'!$D$12:$F$12,1,D286)</f>
        <v>158023.104</v>
      </c>
      <c r="K286" s="81" t="n">
        <f aca="false">SUM('W Sites'!$D$50:$D$52)/12*F286*(1+'W Sites'!$D$56)^(D286-1)*INDEX('W Assumptions'!$D$7:$F$7,1,D286)*INDEX('W Assumptions'!$D$12:$F$12,1,D286)/(1+'W Sites'!$D$54*'W Assumptions'!$D$39)</f>
        <v>37453.3333333333</v>
      </c>
      <c r="L286" s="81" t="n">
        <f aca="false">SUM(I286:K286)</f>
        <v>485185.461333333</v>
      </c>
      <c r="M286" s="81" t="n">
        <f aca="false">('W Site Costs'!$I$6+INDEX('W Sites'!$F$65:$F$76,MONTH(C286),1)*'W Site Costs'!$V$6)*F286*(1+'W Sites'!$D$58)^(D286-1)*INDEX('W Assumptions'!$D$22:$F$22,1,D286)</f>
        <v>117353.6</v>
      </c>
      <c r="N286" s="81" t="n">
        <f aca="false">'W Site Costs'!$J$6*F286*INDEX('W Assumptions'!$D$35:$F$35,1,D286)*INDEX('W Assumptions'!$D$22:$F$22,1,D286)</f>
        <v>16224</v>
      </c>
      <c r="O286" s="81" t="n">
        <f aca="false">L286*'W Site Costs'!$K$6</f>
        <v>0</v>
      </c>
      <c r="P286" s="81" t="n">
        <f aca="false">(SUM('W Site Costs'!$L$6:$Q$6)+INDEX('W Sites'!$F$65:$F$76,MONTH(C286),1)*'W Site Costs'!$W$6)*F286*(1+'W Sites'!$D$58)^(D286-1)*INDEX('W Assumptions'!$D$22:$F$22,1,D286)</f>
        <v>80038.4</v>
      </c>
      <c r="Q286" s="81" t="n">
        <f aca="false">('W Site Costs'!$X$6+INDEX('W Sites'!$F$65:$F$76,MONTH(C286),1)*'W Site Costs'!$Y$6)*F286*(1+'W Sites'!$D$58)^(D286-1)*INDEX('W Assumptions'!$D$17:$F$17,1,D286)</f>
        <v>19468.8</v>
      </c>
      <c r="R286" s="112" t="n">
        <f aca="false">L286*'W Sites'!$M$6</f>
        <v>0</v>
      </c>
      <c r="S286" s="81" t="n">
        <f aca="false">SUM(M286:R286)</f>
        <v>233084.8</v>
      </c>
      <c r="T286" s="81" t="n">
        <f aca="false">L286-S286</f>
        <v>252100.661333333</v>
      </c>
      <c r="U286" s="81" t="n">
        <f aca="false">IF(C286='W Budget &amp; Owners'!$I$6,'W Budget &amp; Owners'!$F$6*'W Sites'!$G$6,0)</f>
        <v>0</v>
      </c>
      <c r="V286" s="81" t="n">
        <f aca="false">'W Sites'!$G$6*'W Budget &amp; Owners'!$E$6*INDEX('W Assumptions'!$D$27:$F$27,1,D286)*(IF(C286='W Budget &amp; Owners'!$I$6,'W Assumptions'!$D$65,0)+IF(C286=DATE(YEAR('W Sites'!$F$6),MONTH('W Sites'!$F$6),1),1-'W Assumptions'!$D$65,0))+'W Sites'!$G$6*'W Budget &amp; Owners'!$E$6*IF(C286=DATE(2027,9,1),'W Assumptions'!$D$67,IF(C286=DATE(2028,9,1),'W Assumptions'!$D$69,0))</f>
        <v>0</v>
      </c>
      <c r="W286" s="81" t="n">
        <f aca="false">IF(((YEAR(C286)-YEAR('W Sites'!$F$6))*12+MONTH(C286)-MONTH('W Sites'!$F$6))&lt;'W Budget &amp; Owners'!$H$6,'W Budget &amp; Owners'!$E$6/'W Budget &amp; Owners'!$H$6*F286,0)+IF(C286&gt;=DATE(2027,9,1),'W Budget &amp; Owners'!$E$6*'W Assumptions'!$D$67/'W Budget &amp; Owners'!$H$6*F286,0)+IF(C286&gt;=DATE(2028,9,1),'W Budget &amp; Owners'!$E$6*'W Assumptions'!$D$69/'W Budget &amp; Owners'!$H$6*F286,0)</f>
        <v>6125</v>
      </c>
      <c r="X286" s="81" t="n">
        <f aca="false">IF(C286='W Budget &amp; Owners'!$I$6,'W Budget &amp; Owners'!$G$6*'W Sites'!$G$6,0)</f>
        <v>0</v>
      </c>
      <c r="Y286" s="112" t="n">
        <f aca="false">IF(SUM($G$286:$G$295)=0,0,'W Fees &amp; KPI'!$Q$34*G286/SUM($G$286:$G$295))</f>
        <v>4536.55827900866</v>
      </c>
      <c r="Z286" s="119" t="n">
        <f aca="false">IF(SUM($G$286:$G$295)=0,0,SUM('W Fees &amp; KPI'!$J$34,'W Fees &amp; KPI'!$M$34)*G286/SUM($G$286:$G$295))</f>
        <v>5223.75</v>
      </c>
      <c r="AA286" s="117" t="n">
        <f aca="false">T286-U286-Z286-Y286</f>
        <v>242340.353054325</v>
      </c>
      <c r="AB286" s="119" t="n">
        <f aca="false">IF('W Fees &amp; KPI'!$D$34=0,0,T286-U286-Z286)</f>
        <v>246876.911333333</v>
      </c>
    </row>
    <row r="287" customFormat="false" ht="21" hidden="false" customHeight="true" outlineLevel="0" collapsed="false">
      <c r="C287" s="144" t="n">
        <f aca="false">47119</f>
        <v>47119</v>
      </c>
      <c r="D287" s="81" t="n">
        <f aca="false">3</f>
        <v>3</v>
      </c>
      <c r="E287" s="81" t="str">
        <f aca="false">'W Sites'!C7</f>
        <v>S02</v>
      </c>
      <c r="F287" s="145" t="n">
        <f aca="false">'W Sites'!$G$7*MAX(0,EOMONTH(C287,0)-MAX(C287,'W Sites'!$F$7)+1)/DAY(EOMONTH(C287,0))</f>
        <v>1</v>
      </c>
      <c r="G287" s="145" t="n">
        <f aca="false">'W Sites'!$G$7*MAX(0,EOMONTH(C287,0)-MAX(C287,'W Sites'!$F$7,'W Assumptions'!$D$58)+1)/DAY(EOMONTH(C287,0))</f>
        <v>1</v>
      </c>
      <c r="H287" s="81" t="n">
        <f aca="false">'W Sites'!$H$7*F287*'W Sites'!$I$7*IF(((YEAR(C287)-YEAR('W Sites'!$F$7))*12+MONTH(C287)-MONTH('W Sites'!$F$7))=0,'W Assumptions'!$D$62,IF(((YEAR(C287)-YEAR('W Sites'!$F$7))*12+MONTH(C287)-MONTH('W Sites'!$F$7))=1,'W Assumptions'!$D$63,1))*INDEX('W Assumptions'!$D$7:$F$7,1,D287)*INDEX('W Assumptions'!$D$32:$F$32,1,D287)*INDEX('W Assumptions'!$D$80:$D$91,MONTH(C287),1)/AVERAGE('W Assumptions'!$D$80:$D$91)</f>
        <v>2619.54</v>
      </c>
      <c r="I287" s="81" t="n">
        <f aca="false">H287*'W Sites'!$J$7/(1+'W Assumptions'!$D$39)*INDEX('W Assumptions'!$D$12:$F$12,1,D287)*INDEX('W Assumptions'!$D$33:$F$33,1,D287)</f>
        <v>84580.3908782609</v>
      </c>
      <c r="J287" s="81" t="n">
        <f aca="false">H287*'W Sites'!$K$7/(1+'W Assumptions'!$D$39)*INDEX('W Assumptions'!$D$12:$F$12,1,D287)*INDEX('W Assumptions'!$D$33:$F$33,1,D287)</f>
        <v>7249.74778956522</v>
      </c>
      <c r="K287" s="81" t="n">
        <f aca="false">'W Sites'!$L$7*F287*IF(((YEAR(C287)-YEAR('W Sites'!$F$7))*12+MONTH(C287)-MONTH('W Sites'!$F$7))=0,'W Assumptions'!$D$62,IF(((YEAR(C287)-YEAR('W Sites'!$F$7))*12+MONTH(C287)-MONTH('W Sites'!$F$7))=1,'W Assumptions'!$D$63,1))*INDEX('W Assumptions'!$D$7:$F$7,1,D287)*INDEX('W Assumptions'!$D$32:$F$32,1,D287)</f>
        <v>5940</v>
      </c>
      <c r="L287" s="81" t="n">
        <f aca="false">SUM(I287:K287)</f>
        <v>97770.1386678261</v>
      </c>
      <c r="M287" s="81" t="n">
        <f aca="false">'W Site Costs'!$I$7*F287*INDEX('W Assumptions'!$D$34:$F$34,1,D287)*INDEX('W Assumptions'!$D$22:$F$22,1,D287)</f>
        <v>35776.125</v>
      </c>
      <c r="N287" s="81" t="n">
        <f aca="false">'W Site Costs'!$J$7*F287*INDEX('W Assumptions'!$D$35:$F$35,1,D287)*INDEX('W Assumptions'!$D$22:$F$22,1,D287)</f>
        <v>0</v>
      </c>
      <c r="O287" s="81" t="n">
        <f aca="false">L287*'W Site Costs'!$K$7</f>
        <v>14665.5208001739</v>
      </c>
      <c r="P287" s="81" t="n">
        <f aca="false">SUM('W Site Costs'!$L$7:$Q$7)*F287*INDEX('W Assumptions'!$D$35:$F$35,1,D287)*INDEX('W Assumptions'!$D$22:$F$22,1,D287)</f>
        <v>12654.72</v>
      </c>
      <c r="Q287" s="81" t="n">
        <f aca="false">L287*'W Site Costs'!$R$7*INDEX('W Assumptions'!$D$17:$F$17,1,D287)</f>
        <v>5866.20832006956</v>
      </c>
      <c r="R287" s="112" t="n">
        <f aca="false">L287*'W Sites'!$M$7</f>
        <v>0</v>
      </c>
      <c r="S287" s="81" t="n">
        <f aca="false">SUM(M287:R287)</f>
        <v>68962.5741202435</v>
      </c>
      <c r="T287" s="81" t="n">
        <f aca="false">L287-S287</f>
        <v>28807.5645475826</v>
      </c>
      <c r="U287" s="81" t="n">
        <f aca="false">IF(C287='W Budget &amp; Owners'!$I$7,'W Budget &amp; Owners'!$F$7*'W Sites'!$G$7,0)</f>
        <v>0</v>
      </c>
      <c r="V287" s="81" t="n">
        <f aca="false">'W Sites'!$G$7*'W Budget &amp; Owners'!$E$7*INDEX('W Assumptions'!$D$27:$F$27,1,D287)*(IF(C287='W Budget &amp; Owners'!$I$7,'W Assumptions'!$D$65,0)+IF(C287=DATE(YEAR('W Sites'!$F$7),MONTH('W Sites'!$F$7),1),1-'W Assumptions'!$D$65,0))+'W Sites'!$G$7*'W Budget &amp; Owners'!$E$7*IF(C287=DATE(2027,9,1),'W Assumptions'!$D$67,IF(C287=DATE(2028,9,1),'W Assumptions'!$D$69,0))</f>
        <v>0</v>
      </c>
      <c r="W287" s="81" t="n">
        <f aca="false">IF(((YEAR(C287)-YEAR('W Sites'!$F$7))*12+MONTH(C287)-MONTH('W Sites'!$F$7))&lt;'W Budget &amp; Owners'!$H$7,'W Budget &amp; Owners'!$E$7/'W Budget &amp; Owners'!$H$7*F287,0)+IF(C287&gt;=DATE(2027,9,1),'W Budget &amp; Owners'!$E$7*'W Assumptions'!$D$67/'W Budget &amp; Owners'!$H$7*F287,0)+IF(C287&gt;=DATE(2028,9,1),'W Budget &amp; Owners'!$E$7*'W Assumptions'!$D$69/'W Budget &amp; Owners'!$H$7*F287,0)</f>
        <v>1400</v>
      </c>
      <c r="X287" s="81" t="n">
        <f aca="false">IF(C287='W Budget &amp; Owners'!$I$7,'W Budget &amp; Owners'!$G$7*'W Sites'!$G$7,0)</f>
        <v>0</v>
      </c>
      <c r="Y287" s="112" t="n">
        <f aca="false">IF(SUM($G$286:$G$295)=0,0,'W Fees &amp; KPI'!$Q$34*G287/SUM($G$286:$G$295))</f>
        <v>4536.55827900866</v>
      </c>
      <c r="Z287" s="119" t="n">
        <f aca="false">IF(SUM($G$286:$G$295)=0,0,SUM('W Fees &amp; KPI'!$J$34,'W Fees &amp; KPI'!$M$34)*G287/SUM($G$286:$G$295))</f>
        <v>5223.75</v>
      </c>
      <c r="AA287" s="117" t="n">
        <f aca="false">T287-U287-Z287-Y287</f>
        <v>19047.2562685739</v>
      </c>
      <c r="AB287" s="119" t="n">
        <f aca="false">IF('W Fees &amp; KPI'!$D$34=0,0,T287-U287-Z287)</f>
        <v>23583.8145475826</v>
      </c>
    </row>
    <row r="288" customFormat="false" ht="21" hidden="false" customHeight="true" outlineLevel="0" collapsed="false">
      <c r="C288" s="144" t="n">
        <f aca="false">47119</f>
        <v>47119</v>
      </c>
      <c r="D288" s="81" t="n">
        <f aca="false">3</f>
        <v>3</v>
      </c>
      <c r="E288" s="81" t="str">
        <f aca="false">'W Sites'!C8</f>
        <v>S03</v>
      </c>
      <c r="F288" s="145" t="n">
        <f aca="false">'W Sites'!$G$8*MAX(0,EOMONTH(C288,0)-MAX(C288,'W Sites'!$F$8)+1)/DAY(EOMONTH(C288,0))</f>
        <v>1</v>
      </c>
      <c r="G288" s="145" t="n">
        <f aca="false">'W Sites'!$G$8*MAX(0,EOMONTH(C288,0)-MAX(C288,'W Sites'!$F$8,'W Assumptions'!$D$58)+1)/DAY(EOMONTH(C288,0))</f>
        <v>1</v>
      </c>
      <c r="H288" s="81" t="n">
        <f aca="false">'W Sites'!$H$8*F288*'W Sites'!$I$8*IF(((YEAR(C288)-YEAR('W Sites'!$F$8))*12+MONTH(C288)-MONTH('W Sites'!$F$8))=0,'W Assumptions'!$D$62,IF(((YEAR(C288)-YEAR('W Sites'!$F$8))*12+MONTH(C288)-MONTH('W Sites'!$F$8))=1,'W Assumptions'!$D$63,1))*INDEX('W Assumptions'!$D$7:$F$7,1,D288)*INDEX('W Assumptions'!$D$32:$F$32,1,D288)*INDEX('W Assumptions'!$D$80:$D$91,MONTH(C288),1)/AVERAGE('W Assumptions'!$D$80:$D$91)</f>
        <v>3537.14794520548</v>
      </c>
      <c r="I288" s="81" t="n">
        <f aca="false">H288*'W Sites'!$J$8/(1+'W Assumptions'!$D$39)*INDEX('W Assumptions'!$D$12:$F$12,1,D288)*INDEX('W Assumptions'!$D$33:$F$33,1,D288)</f>
        <v>212101.231808219</v>
      </c>
      <c r="J288" s="81" t="n">
        <f aca="false">H288*'W Sites'!$K$8/(1+'W Assumptions'!$D$39)*INDEX('W Assumptions'!$D$12:$F$12,1,D288)*INDEX('W Assumptions'!$D$33:$F$33,1,D288)</f>
        <v>26104.7669917808</v>
      </c>
      <c r="K288" s="81" t="n">
        <f aca="false">'W Sites'!$L$8*F288*IF(((YEAR(C288)-YEAR('W Sites'!$F$8))*12+MONTH(C288)-MONTH('W Sites'!$F$8))=0,'W Assumptions'!$D$62,IF(((YEAR(C288)-YEAR('W Sites'!$F$8))*12+MONTH(C288)-MONTH('W Sites'!$F$8))=1,'W Assumptions'!$D$63,1))*INDEX('W Assumptions'!$D$7:$F$7,1,D288)*INDEX('W Assumptions'!$D$32:$F$32,1,D288)</f>
        <v>23760</v>
      </c>
      <c r="L288" s="81" t="n">
        <f aca="false">SUM(I288:K288)</f>
        <v>261965.9988</v>
      </c>
      <c r="M288" s="81" t="n">
        <f aca="false">'W Site Costs'!$I$8*F288*INDEX('W Assumptions'!$D$34:$F$34,1,D288)*INDEX('W Assumptions'!$D$22:$F$22,1,D288)</f>
        <v>52948.665</v>
      </c>
      <c r="N288" s="81" t="n">
        <f aca="false">'W Site Costs'!$J$8*F288*INDEX('W Assumptions'!$D$35:$F$35,1,D288)*INDEX('W Assumptions'!$D$22:$F$22,1,D288)</f>
        <v>37856</v>
      </c>
      <c r="O288" s="81" t="n">
        <f aca="false">L288*'W Site Costs'!$K$8</f>
        <v>0</v>
      </c>
      <c r="P288" s="81" t="n">
        <f aca="false">SUM('W Site Costs'!$L$8:$Q$8)*F288*INDEX('W Assumptions'!$D$35:$F$35,1,D288)*INDEX('W Assumptions'!$D$22:$F$22,1,D288)</f>
        <v>21091.2</v>
      </c>
      <c r="Q288" s="81" t="n">
        <f aca="false">L288*'W Site Costs'!$R$8*INDEX('W Assumptions'!$D$17:$F$17,1,D288)</f>
        <v>20957.279904</v>
      </c>
      <c r="R288" s="112" t="n">
        <f aca="false">L288*'W Sites'!$M$8</f>
        <v>0</v>
      </c>
      <c r="S288" s="81" t="n">
        <f aca="false">SUM(M288:R288)</f>
        <v>132853.144904</v>
      </c>
      <c r="T288" s="81" t="n">
        <f aca="false">L288-S288</f>
        <v>129112.853896</v>
      </c>
      <c r="U288" s="81" t="n">
        <f aca="false">IF(C288='W Budget &amp; Owners'!$I$8,'W Budget &amp; Owners'!$F$8*'W Sites'!$G$8,0)</f>
        <v>0</v>
      </c>
      <c r="V288" s="81" t="n">
        <f aca="false">'W Sites'!$G$8*'W Budget &amp; Owners'!$E$8*INDEX('W Assumptions'!$D$27:$F$27,1,D288)*(IF(C288='W Budget &amp; Owners'!$I$8,'W Assumptions'!$D$65,0)+IF(C288=DATE(YEAR('W Sites'!$F$8),MONTH('W Sites'!$F$8),1),1-'W Assumptions'!$D$65,0))+'W Sites'!$G$8*'W Budget &amp; Owners'!$E$8*IF(C288=DATE(2027,9,1),'W Assumptions'!$D$67,IF(C288=DATE(2028,9,1),'W Assumptions'!$D$69,0))</f>
        <v>0</v>
      </c>
      <c r="W288" s="81" t="n">
        <f aca="false">IF(((YEAR(C288)-YEAR('W Sites'!$F$8))*12+MONTH(C288)-MONTH('W Sites'!$F$8))&lt;'W Budget &amp; Owners'!$H$8,'W Budget &amp; Owners'!$E$8/'W Budget &amp; Owners'!$H$8*F288,0)+IF(C288&gt;=DATE(2027,9,1),'W Budget &amp; Owners'!$E$8*'W Assumptions'!$D$67/'W Budget &amp; Owners'!$H$8*F288,0)+IF(C288&gt;=DATE(2028,9,1),'W Budget &amp; Owners'!$E$8*'W Assumptions'!$D$69/'W Budget &amp; Owners'!$H$8*F288,0)</f>
        <v>10500</v>
      </c>
      <c r="X288" s="81" t="n">
        <f aca="false">IF(C288='W Budget &amp; Owners'!$I$8,'W Budget &amp; Owners'!$G$8*'W Sites'!$G$8,0)</f>
        <v>0</v>
      </c>
      <c r="Y288" s="112" t="n">
        <f aca="false">IF(SUM($G$286:$G$295)=0,0,'W Fees &amp; KPI'!$Q$34*G288/SUM($G$286:$G$295))</f>
        <v>4536.55827900866</v>
      </c>
      <c r="Z288" s="119" t="n">
        <f aca="false">IF(SUM($G$286:$G$295)=0,0,SUM('W Fees &amp; KPI'!$J$34,'W Fees &amp; KPI'!$M$34)*G288/SUM($G$286:$G$295))</f>
        <v>5223.75</v>
      </c>
      <c r="AA288" s="117" t="n">
        <f aca="false">T288-U288-Z288-Y288</f>
        <v>119352.545616991</v>
      </c>
      <c r="AB288" s="119" t="n">
        <f aca="false">IF('W Fees &amp; KPI'!$D$34=0,0,T288-U288-Z288)</f>
        <v>123889.103896</v>
      </c>
    </row>
    <row r="289" customFormat="false" ht="21" hidden="false" customHeight="true" outlineLevel="0" collapsed="false">
      <c r="C289" s="144" t="n">
        <f aca="false">47119</f>
        <v>47119</v>
      </c>
      <c r="D289" s="81" t="n">
        <f aca="false">3</f>
        <v>3</v>
      </c>
      <c r="E289" s="81" t="str">
        <f aca="false">'W Sites'!C9</f>
        <v>S04</v>
      </c>
      <c r="F289" s="145" t="n">
        <f aca="false">'W Sites'!$G$9*MAX(0,EOMONTH(C289,0)-MAX(C289,'W Sites'!$F$9)+1)/DAY(EOMONTH(C289,0))</f>
        <v>1</v>
      </c>
      <c r="G289" s="145" t="n">
        <f aca="false">'W Sites'!$G$9*MAX(0,EOMONTH(C289,0)-MAX(C289,'W Sites'!$F$9,'W Assumptions'!$D$58)+1)/DAY(EOMONTH(C289,0))</f>
        <v>1</v>
      </c>
      <c r="H289" s="81" t="n">
        <f aca="false">'W Sites'!$H$9*F289*'W Sites'!$I$9*IF(((YEAR(C289)-YEAR('W Sites'!$F$9))*12+MONTH(C289)-MONTH('W Sites'!$F$9))=0,'W Assumptions'!$D$62,IF(((YEAR(C289)-YEAR('W Sites'!$F$9))*12+MONTH(C289)-MONTH('W Sites'!$F$9))=1,'W Assumptions'!$D$63,1))*INDEX('W Assumptions'!$D$7:$F$7,1,D289)*INDEX('W Assumptions'!$D$32:$F$32,1,D289)*INDEX('W Assumptions'!$D$80:$D$91,MONTH(C289),1)/AVERAGE('W Assumptions'!$D$80:$D$91)</f>
        <v>2490.46875</v>
      </c>
      <c r="I289" s="81" t="n">
        <f aca="false">H289*'W Sites'!$J$9/(1+'W Assumptions'!$D$39)*INDEX('W Assumptions'!$D$12:$F$12,1,D289)*INDEX('W Assumptions'!$D$33:$F$33,1,D289)</f>
        <v>149338.2515625</v>
      </c>
      <c r="J289" s="81" t="n">
        <f aca="false">H289*'W Sites'!$K$9/(1+'W Assumptions'!$D$39)*INDEX('W Assumptions'!$D$12:$F$12,1,D289)*INDEX('W Assumptions'!$D$33:$F$33,1,D289)</f>
        <v>16082.5809375</v>
      </c>
      <c r="K289" s="81" t="n">
        <f aca="false">'W Sites'!$L$9*F289*IF(((YEAR(C289)-YEAR('W Sites'!$F$9))*12+MONTH(C289)-MONTH('W Sites'!$F$9))=0,'W Assumptions'!$D$62,IF(((YEAR(C289)-YEAR('W Sites'!$F$9))*12+MONTH(C289)-MONTH('W Sites'!$F$9))=1,'W Assumptions'!$D$63,1))*INDEX('W Assumptions'!$D$7:$F$7,1,D289)*INDEX('W Assumptions'!$D$32:$F$32,1,D289)</f>
        <v>17820</v>
      </c>
      <c r="L289" s="81" t="n">
        <f aca="false">SUM(I289:K289)</f>
        <v>183240.8325</v>
      </c>
      <c r="M289" s="81" t="n">
        <f aca="false">'W Site Costs'!$I$9*F289*INDEX('W Assumptions'!$D$34:$F$34,1,D289)*INDEX('W Assumptions'!$D$22:$F$22,1,D289)</f>
        <v>41630.4</v>
      </c>
      <c r="N289" s="81" t="n">
        <f aca="false">'W Site Costs'!$J$9*F289*INDEX('W Assumptions'!$D$35:$F$35,1,D289)*INDEX('W Assumptions'!$D$22:$F$22,1,D289)</f>
        <v>23795.2</v>
      </c>
      <c r="O289" s="81" t="n">
        <f aca="false">L289*'W Site Costs'!$K$9</f>
        <v>0</v>
      </c>
      <c r="P289" s="81" t="n">
        <f aca="false">SUM('W Site Costs'!$L$9:$Q$9)*F289*INDEX('W Assumptions'!$D$35:$F$35,1,D289)*INDEX('W Assumptions'!$D$22:$F$22,1,D289)</f>
        <v>16764.8</v>
      </c>
      <c r="Q289" s="81" t="n">
        <f aca="false">L289*'W Site Costs'!$R$9*INDEX('W Assumptions'!$D$17:$F$17,1,D289)</f>
        <v>14659.2666</v>
      </c>
      <c r="R289" s="112" t="n">
        <f aca="false">L289*'W Sites'!$M$9</f>
        <v>0</v>
      </c>
      <c r="S289" s="81" t="n">
        <f aca="false">SUM(M289:R289)</f>
        <v>96849.6666</v>
      </c>
      <c r="T289" s="81" t="n">
        <f aca="false">L289-S289</f>
        <v>86391.1659</v>
      </c>
      <c r="U289" s="81" t="n">
        <f aca="false">IF(C289='W Budget &amp; Owners'!$I$9,'W Budget &amp; Owners'!$F$9*'W Sites'!$G$9,0)</f>
        <v>0</v>
      </c>
      <c r="V289" s="81" t="n">
        <f aca="false">'W Sites'!$G$9*'W Budget &amp; Owners'!$E$9*INDEX('W Assumptions'!$D$27:$F$27,1,D289)*(IF(C289='W Budget &amp; Owners'!$I$9,'W Assumptions'!$D$65,0)+IF(C289=DATE(YEAR('W Sites'!$F$9),MONTH('W Sites'!$F$9),1),1-'W Assumptions'!$D$65,0))+'W Sites'!$G$9*'W Budget &amp; Owners'!$E$9*IF(C289=DATE(2027,9,1),'W Assumptions'!$D$67,IF(C289=DATE(2028,9,1),'W Assumptions'!$D$69,0))</f>
        <v>0</v>
      </c>
      <c r="W289" s="81" t="n">
        <f aca="false">IF(((YEAR(C289)-YEAR('W Sites'!$F$9))*12+MONTH(C289)-MONTH('W Sites'!$F$9))&lt;'W Budget &amp; Owners'!$H$9,'W Budget &amp; Owners'!$E$9/'W Budget &amp; Owners'!$H$9*F289,0)+IF(C289&gt;=DATE(2027,9,1),'W Budget &amp; Owners'!$E$9*'W Assumptions'!$D$67/'W Budget &amp; Owners'!$H$9*F289,0)+IF(C289&gt;=DATE(2028,9,1),'W Budget &amp; Owners'!$E$9*'W Assumptions'!$D$69/'W Budget &amp; Owners'!$H$9*F289,0)</f>
        <v>8750</v>
      </c>
      <c r="X289" s="81" t="n">
        <f aca="false">IF(C289='W Budget &amp; Owners'!$I$9,'W Budget &amp; Owners'!$G$9*'W Sites'!$G$9,0)</f>
        <v>0</v>
      </c>
      <c r="Y289" s="112" t="n">
        <f aca="false">IF(SUM($G$286:$G$295)=0,0,'W Fees &amp; KPI'!$Q$34*G289/SUM($G$286:$G$295))</f>
        <v>4536.55827900866</v>
      </c>
      <c r="Z289" s="119" t="n">
        <f aca="false">IF(SUM($G$286:$G$295)=0,0,SUM('W Fees &amp; KPI'!$J$34,'W Fees &amp; KPI'!$M$34)*G289/SUM($G$286:$G$295))</f>
        <v>5223.75</v>
      </c>
      <c r="AA289" s="117" t="n">
        <f aca="false">T289-U289-Z289-Y289</f>
        <v>76630.8576209913</v>
      </c>
      <c r="AB289" s="119" t="n">
        <f aca="false">IF('W Fees &amp; KPI'!$D$34=0,0,T289-U289-Z289)</f>
        <v>81167.4159</v>
      </c>
    </row>
    <row r="290" customFormat="false" ht="21" hidden="false" customHeight="true" outlineLevel="0" collapsed="false">
      <c r="C290" s="144" t="n">
        <f aca="false">47119</f>
        <v>47119</v>
      </c>
      <c r="D290" s="81" t="n">
        <f aca="false">3</f>
        <v>3</v>
      </c>
      <c r="E290" s="81" t="str">
        <f aca="false">'W Sites'!C10</f>
        <v>S05</v>
      </c>
      <c r="F290" s="145" t="n">
        <f aca="false">'W Sites'!$G$10*MAX(0,EOMONTH(C290,0)-MAX(C290,'W Sites'!$F$10)+1)/DAY(EOMONTH(C290,0))</f>
        <v>1</v>
      </c>
      <c r="G290" s="145" t="n">
        <f aca="false">'W Sites'!$G$10*MAX(0,EOMONTH(C290,0)-MAX(C290,'W Sites'!$F$10,'W Assumptions'!$D$58)+1)/DAY(EOMONTH(C290,0))</f>
        <v>1</v>
      </c>
      <c r="H290" s="81" t="n">
        <f aca="false">'W Sites'!$H$10*F290*'W Sites'!$I$10*IF(((YEAR(C290)-YEAR('W Sites'!$F$10))*12+MONTH(C290)-MONTH('W Sites'!$F$10))=0,'W Assumptions'!$D$62,IF(((YEAR(C290)-YEAR('W Sites'!$F$10))*12+MONTH(C290)-MONTH('W Sites'!$F$10))=1,'W Assumptions'!$D$63,1))*INDEX('W Assumptions'!$D$7:$F$7,1,D290)*INDEX('W Assumptions'!$D$32:$F$32,1,D290)*INDEX('W Assumptions'!$D$80:$D$91,MONTH(C290),1)/AVERAGE('W Assumptions'!$D$80:$D$91)</f>
        <v>3183.43315068493</v>
      </c>
      <c r="I290" s="81" t="n">
        <f aca="false">H290*'W Sites'!$J$10/(1+'W Assumptions'!$D$39)*INDEX('W Assumptions'!$D$12:$F$12,1,D290)*INDEX('W Assumptions'!$D$33:$F$33,1,D290)</f>
        <v>190891.108627397</v>
      </c>
      <c r="J290" s="81" t="n">
        <f aca="false">H290*'W Sites'!$K$10/(1+'W Assumptions'!$D$39)*INDEX('W Assumptions'!$D$12:$F$12,1,D290)*INDEX('W Assumptions'!$D$33:$F$33,1,D290)</f>
        <v>23494.2902926027</v>
      </c>
      <c r="K290" s="81" t="n">
        <f aca="false">'W Sites'!$L$10*F290*IF(((YEAR(C290)-YEAR('W Sites'!$F$10))*12+MONTH(C290)-MONTH('W Sites'!$F$10))=0,'W Assumptions'!$D$62,IF(((YEAR(C290)-YEAR('W Sites'!$F$10))*12+MONTH(C290)-MONTH('W Sites'!$F$10))=1,'W Assumptions'!$D$63,1))*INDEX('W Assumptions'!$D$7:$F$7,1,D290)*INDEX('W Assumptions'!$D$32:$F$32,1,D290)</f>
        <v>21384</v>
      </c>
      <c r="L290" s="81" t="n">
        <f aca="false">SUM(I290:K290)</f>
        <v>235769.39892</v>
      </c>
      <c r="M290" s="81" t="n">
        <f aca="false">'W Site Costs'!$I$10*F290*INDEX('W Assumptions'!$D$34:$F$34,1,D290)*INDEX('W Assumptions'!$D$22:$F$22,1,D290)</f>
        <v>52948.665</v>
      </c>
      <c r="N290" s="81" t="n">
        <f aca="false">'W Site Costs'!$J$10*F290*INDEX('W Assumptions'!$D$35:$F$35,1,D290)*INDEX('W Assumptions'!$D$22:$F$22,1,D290)</f>
        <v>32448</v>
      </c>
      <c r="O290" s="81" t="n">
        <f aca="false">L290*'W Site Costs'!$K$10</f>
        <v>0</v>
      </c>
      <c r="P290" s="81" t="n">
        <f aca="false">SUM('W Site Costs'!$L$10:$Q$10)*F290*INDEX('W Assumptions'!$D$35:$F$35,1,D290)*INDEX('W Assumptions'!$D$22:$F$22,1,D290)</f>
        <v>20550.4</v>
      </c>
      <c r="Q290" s="81" t="n">
        <f aca="false">L290*'W Site Costs'!$R$10*INDEX('W Assumptions'!$D$17:$F$17,1,D290)</f>
        <v>18861.5519136</v>
      </c>
      <c r="R290" s="112" t="n">
        <f aca="false">L290*'W Sites'!$M$10</f>
        <v>0</v>
      </c>
      <c r="S290" s="81" t="n">
        <f aca="false">SUM(M290:R290)</f>
        <v>124808.6169136</v>
      </c>
      <c r="T290" s="81" t="n">
        <f aca="false">L290-S290</f>
        <v>110960.7820064</v>
      </c>
      <c r="U290" s="81" t="n">
        <f aca="false">IF(C290='W Budget &amp; Owners'!$I$10,'W Budget &amp; Owners'!$F$10*'W Sites'!$G$10,0)</f>
        <v>0</v>
      </c>
      <c r="V290" s="81" t="n">
        <f aca="false">'W Sites'!$G$10*'W Budget &amp; Owners'!$E$10*INDEX('W Assumptions'!$D$27:$F$27,1,D290)*(IF(C290='W Budget &amp; Owners'!$I$10,'W Assumptions'!$D$65,0)+IF(C290=DATE(YEAR('W Sites'!$F$10),MONTH('W Sites'!$F$10),1),1-'W Assumptions'!$D$65,0))+'W Sites'!$G$10*'W Budget &amp; Owners'!$E$10*IF(C290=DATE(2027,9,1),'W Assumptions'!$D$67,IF(C290=DATE(2028,9,1),'W Assumptions'!$D$69,0))</f>
        <v>0</v>
      </c>
      <c r="W290" s="81" t="n">
        <f aca="false">IF(((YEAR(C290)-YEAR('W Sites'!$F$10))*12+MONTH(C290)-MONTH('W Sites'!$F$10))&lt;'W Budget &amp; Owners'!$H$10,'W Budget &amp; Owners'!$E$10/'W Budget &amp; Owners'!$H$10*F290,0)+IF(C290&gt;=DATE(2027,9,1),'W Budget &amp; Owners'!$E$10*'W Assumptions'!$D$67/'W Budget &amp; Owners'!$H$10*F290,0)+IF(C290&gt;=DATE(2028,9,1),'W Budget &amp; Owners'!$E$10*'W Assumptions'!$D$69/'W Budget &amp; Owners'!$H$10*F290,0)</f>
        <v>13125</v>
      </c>
      <c r="X290" s="81" t="n">
        <f aca="false">IF(C290='W Budget &amp; Owners'!$I$10,'W Budget &amp; Owners'!$G$10*'W Sites'!$G$10,0)</f>
        <v>0</v>
      </c>
      <c r="Y290" s="112" t="n">
        <f aca="false">IF(SUM($G$286:$G$295)=0,0,'W Fees &amp; KPI'!$Q$34*G290/SUM($G$286:$G$295))</f>
        <v>4536.55827900866</v>
      </c>
      <c r="Z290" s="119" t="n">
        <f aca="false">IF(SUM($G$286:$G$295)=0,0,SUM('W Fees &amp; KPI'!$J$34,'W Fees &amp; KPI'!$M$34)*G290/SUM($G$286:$G$295))</f>
        <v>5223.75</v>
      </c>
      <c r="AA290" s="117" t="n">
        <f aca="false">T290-U290-Z290-Y290</f>
        <v>101200.473727391</v>
      </c>
      <c r="AB290" s="119" t="n">
        <f aca="false">IF('W Fees &amp; KPI'!$D$34=0,0,T290-U290-Z290)</f>
        <v>105737.0320064</v>
      </c>
    </row>
    <row r="291" customFormat="false" ht="21" hidden="false" customHeight="true" outlineLevel="0" collapsed="false">
      <c r="C291" s="144" t="n">
        <f aca="false">47119</f>
        <v>47119</v>
      </c>
      <c r="D291" s="81" t="n">
        <f aca="false">3</f>
        <v>3</v>
      </c>
      <c r="E291" s="81" t="str">
        <f aca="false">'W Sites'!C11</f>
        <v>S06</v>
      </c>
      <c r="F291" s="145" t="n">
        <f aca="false">'W Sites'!$G$11*MAX(0,EOMONTH(C291,0)-MAX(C291,'W Sites'!$F$11)+1)/DAY(EOMONTH(C291,0))</f>
        <v>1</v>
      </c>
      <c r="G291" s="145" t="n">
        <f aca="false">'W Sites'!$G$11*MAX(0,EOMONTH(C291,0)-MAX(C291,'W Sites'!$F$11,'W Assumptions'!$D$58)+1)/DAY(EOMONTH(C291,0))</f>
        <v>1</v>
      </c>
      <c r="H291" s="81" t="n">
        <f aca="false">'W Sites'!$H$11*F291*'W Sites'!$I$11*IF(((YEAR(C291)-YEAR('W Sites'!$F$11))*12+MONTH(C291)-MONTH('W Sites'!$F$11))=0,'W Assumptions'!$D$62,IF(((YEAR(C291)-YEAR('W Sites'!$F$11))*12+MONTH(C291)-MONTH('W Sites'!$F$11))=1,'W Assumptions'!$D$63,1))*INDEX('W Assumptions'!$D$7:$F$7,1,D291)*INDEX('W Assumptions'!$D$32:$F$32,1,D291)*INDEX('W Assumptions'!$D$80:$D$91,MONTH(C291),1)/AVERAGE('W Assumptions'!$D$80:$D$91)</f>
        <v>972.972</v>
      </c>
      <c r="I291" s="81" t="n">
        <f aca="false">H291*'W Sites'!$J$11/(1+'W Assumptions'!$D$39)*INDEX('W Assumptions'!$D$12:$F$12,1,D291)*INDEX('W Assumptions'!$D$33:$F$33,1,D291)</f>
        <v>53855.269293913</v>
      </c>
      <c r="J291" s="81" t="n">
        <f aca="false">H291*'W Sites'!$K$11/(1+'W Assumptions'!$D$39)*INDEX('W Assumptions'!$D$12:$F$12,1,D291)*INDEX('W Assumptions'!$D$33:$F$33,1,D291)</f>
        <v>2692.76346469565</v>
      </c>
      <c r="K291" s="81" t="n">
        <f aca="false">'W Sites'!$L$11*F291*IF(((YEAR(C291)-YEAR('W Sites'!$F$11))*12+MONTH(C291)-MONTH('W Sites'!$F$11))=0,'W Assumptions'!$D$62,IF(((YEAR(C291)-YEAR('W Sites'!$F$11))*12+MONTH(C291)-MONTH('W Sites'!$F$11))=1,'W Assumptions'!$D$63,1))*INDEX('W Assumptions'!$D$7:$F$7,1,D291)*INDEX('W Assumptions'!$D$32:$F$32,1,D291)</f>
        <v>23760</v>
      </c>
      <c r="L291" s="81" t="n">
        <f aca="false">SUM(I291:K291)</f>
        <v>80308.0327586087</v>
      </c>
      <c r="M291" s="81" t="n">
        <f aca="false">'W Site Costs'!$I$11*F291*INDEX('W Assumptions'!$D$34:$F$34,1,D291)*INDEX('W Assumptions'!$D$22:$F$22,1,D291)</f>
        <v>26279.19</v>
      </c>
      <c r="N291" s="81" t="n">
        <f aca="false">'W Site Costs'!$J$11*F291*INDEX('W Assumptions'!$D$35:$F$35,1,D291)*INDEX('W Assumptions'!$D$22:$F$22,1,D291)</f>
        <v>5408</v>
      </c>
      <c r="O291" s="81" t="n">
        <f aca="false">L291*'W Site Costs'!$K$11</f>
        <v>0</v>
      </c>
      <c r="P291" s="81" t="n">
        <f aca="false">SUM('W Site Costs'!$L$11:$Q$11)*F291*INDEX('W Assumptions'!$D$35:$F$35,1,D291)*INDEX('W Assumptions'!$D$22:$F$22,1,D291)</f>
        <v>8652.8</v>
      </c>
      <c r="Q291" s="81" t="n">
        <f aca="false">L291*'W Site Costs'!$R$11*INDEX('W Assumptions'!$D$17:$F$17,1,D291)</f>
        <v>8030.80327586087</v>
      </c>
      <c r="R291" s="112" t="n">
        <f aca="false">L291*'W Sites'!$M$11</f>
        <v>0</v>
      </c>
      <c r="S291" s="81" t="n">
        <f aca="false">SUM(M291:R291)</f>
        <v>48370.7932758609</v>
      </c>
      <c r="T291" s="81" t="n">
        <f aca="false">L291-S291</f>
        <v>31937.2394827478</v>
      </c>
      <c r="U291" s="81" t="n">
        <f aca="false">IF(C291='W Budget &amp; Owners'!$I$11,'W Budget &amp; Owners'!$F$11*'W Sites'!$G$11,0)</f>
        <v>0</v>
      </c>
      <c r="V291" s="81" t="n">
        <f aca="false">'W Sites'!$G$11*'W Budget &amp; Owners'!$E$11*INDEX('W Assumptions'!$D$27:$F$27,1,D291)*(IF(C291='W Budget &amp; Owners'!$I$11,'W Assumptions'!$D$65,0)+IF(C291=DATE(YEAR('W Sites'!$F$11),MONTH('W Sites'!$F$11),1),1-'W Assumptions'!$D$65,0))+'W Sites'!$G$11*'W Budget &amp; Owners'!$E$11*IF(C291=DATE(2027,9,1),'W Assumptions'!$D$67,IF(C291=DATE(2028,9,1),'W Assumptions'!$D$69,0))</f>
        <v>0</v>
      </c>
      <c r="W291" s="81" t="n">
        <f aca="false">IF(((YEAR(C291)-YEAR('W Sites'!$F$11))*12+MONTH(C291)-MONTH('W Sites'!$F$11))&lt;'W Budget &amp; Owners'!$H$11,'W Budget &amp; Owners'!$E$11/'W Budget &amp; Owners'!$H$11*F291,0)+IF(C291&gt;=DATE(2027,9,1),'W Budget &amp; Owners'!$E$11*'W Assumptions'!$D$67/'W Budget &amp; Owners'!$H$11*F291,0)+IF(C291&gt;=DATE(2028,9,1),'W Budget &amp; Owners'!$E$11*'W Assumptions'!$D$69/'W Budget &amp; Owners'!$H$11*F291,0)</f>
        <v>2625</v>
      </c>
      <c r="X291" s="81" t="n">
        <f aca="false">IF(C291='W Budget &amp; Owners'!$I$11,'W Budget &amp; Owners'!$G$11*'W Sites'!$G$11,0)</f>
        <v>0</v>
      </c>
      <c r="Y291" s="112" t="n">
        <f aca="false">IF(SUM($G$286:$G$295)=0,0,'W Fees &amp; KPI'!$Q$34*G291/SUM($G$286:$G$295))</f>
        <v>4536.55827900866</v>
      </c>
      <c r="Z291" s="119" t="n">
        <f aca="false">IF(SUM($G$286:$G$295)=0,0,SUM('W Fees &amp; KPI'!$J$34,'W Fees &amp; KPI'!$M$34)*G291/SUM($G$286:$G$295))</f>
        <v>5223.75</v>
      </c>
      <c r="AA291" s="117" t="n">
        <f aca="false">T291-U291-Z291-Y291</f>
        <v>22176.9312037392</v>
      </c>
      <c r="AB291" s="119" t="n">
        <f aca="false">IF('W Fees &amp; KPI'!$D$34=0,0,T291-U291-Z291)</f>
        <v>26713.4894827478</v>
      </c>
    </row>
    <row r="292" customFormat="false" ht="21" hidden="false" customHeight="true" outlineLevel="0" collapsed="false">
      <c r="C292" s="144" t="n">
        <f aca="false">47119</f>
        <v>47119</v>
      </c>
      <c r="D292" s="81" t="n">
        <f aca="false">3</f>
        <v>3</v>
      </c>
      <c r="E292" s="81" t="str">
        <f aca="false">'W Sites'!C12</f>
        <v>S07</v>
      </c>
      <c r="F292" s="145" t="n">
        <f aca="false">'W Sites'!$G$12*MAX(0,EOMONTH(C292,0)-MAX(C292,'W Sites'!$F$12)+1)/DAY(EOMONTH(C292,0))</f>
        <v>1</v>
      </c>
      <c r="G292" s="145" t="n">
        <f aca="false">'W Sites'!$G$12*MAX(0,EOMONTH(C292,0)-MAX(C292,'W Sites'!$F$12,'W Assumptions'!$D$58)+1)/DAY(EOMONTH(C292,0))</f>
        <v>1</v>
      </c>
      <c r="H292" s="81" t="n">
        <f aca="false">'W Sites'!$H$12*F292*'W Sites'!$I$12*IF(((YEAR(C292)-YEAR('W Sites'!$F$12))*12+MONTH(C292)-MONTH('W Sites'!$F$12))=0,'W Assumptions'!$D$62,IF(((YEAR(C292)-YEAR('W Sites'!$F$12))*12+MONTH(C292)-MONTH('W Sites'!$F$12))=1,'W Assumptions'!$D$63,1))*INDEX('W Assumptions'!$D$7:$F$7,1,D292)*INDEX('W Assumptions'!$D$32:$F$32,1,D292)*INDEX('W Assumptions'!$D$80:$D$91,MONTH(C292),1)/AVERAGE('W Assumptions'!$D$80:$D$91)</f>
        <v>1135.134</v>
      </c>
      <c r="I292" s="81" t="n">
        <f aca="false">H292*'W Sites'!$J$12/(1+'W Assumptions'!$D$39)*INDEX('W Assumptions'!$D$12:$F$12,1,D292)*INDEX('W Assumptions'!$D$33:$F$33,1,D292)</f>
        <v>62831.1475095652</v>
      </c>
      <c r="J292" s="81" t="n">
        <f aca="false">H292*'W Sites'!$K$12/(1+'W Assumptions'!$D$39)*INDEX('W Assumptions'!$D$12:$F$12,1,D292)*INDEX('W Assumptions'!$D$33:$F$33,1,D292)</f>
        <v>3141.55737547826</v>
      </c>
      <c r="K292" s="81" t="n">
        <f aca="false">'W Sites'!$L$12*F292*IF(((YEAR(C292)-YEAR('W Sites'!$F$12))*12+MONTH(C292)-MONTH('W Sites'!$F$12))=0,'W Assumptions'!$D$62,IF(((YEAR(C292)-YEAR('W Sites'!$F$12))*12+MONTH(C292)-MONTH('W Sites'!$F$12))=1,'W Assumptions'!$D$63,1))*INDEX('W Assumptions'!$D$7:$F$7,1,D292)*INDEX('W Assumptions'!$D$32:$F$32,1,D292)</f>
        <v>21384</v>
      </c>
      <c r="L292" s="81" t="n">
        <f aca="false">SUM(I292:K292)</f>
        <v>87356.7048850435</v>
      </c>
      <c r="M292" s="81" t="n">
        <f aca="false">'W Site Costs'!$I$12*F292*INDEX('W Assumptions'!$D$34:$F$34,1,D292)*INDEX('W Assumptions'!$D$22:$F$22,1,D292)</f>
        <v>26279.19</v>
      </c>
      <c r="N292" s="81" t="n">
        <f aca="false">'W Site Costs'!$J$12*F292*INDEX('W Assumptions'!$D$35:$F$35,1,D292)*INDEX('W Assumptions'!$D$22:$F$22,1,D292)</f>
        <v>8652.8</v>
      </c>
      <c r="O292" s="81" t="n">
        <f aca="false">L292*'W Site Costs'!$K$12</f>
        <v>0</v>
      </c>
      <c r="P292" s="81" t="n">
        <f aca="false">SUM('W Site Costs'!$L$12:$Q$12)*F292*INDEX('W Assumptions'!$D$35:$F$35,1,D292)*INDEX('W Assumptions'!$D$22:$F$22,1,D292)</f>
        <v>9193.6</v>
      </c>
      <c r="Q292" s="81" t="n">
        <f aca="false">L292*'W Site Costs'!$R$12*INDEX('W Assumptions'!$D$17:$F$17,1,D292)</f>
        <v>8735.67048850435</v>
      </c>
      <c r="R292" s="112" t="n">
        <f aca="false">L292*'W Sites'!$M$12</f>
        <v>0</v>
      </c>
      <c r="S292" s="81" t="n">
        <f aca="false">SUM(M292:R292)</f>
        <v>52861.2604885044</v>
      </c>
      <c r="T292" s="81" t="n">
        <f aca="false">L292-S292</f>
        <v>34495.4443965392</v>
      </c>
      <c r="U292" s="81" t="n">
        <f aca="false">IF(C292='W Budget &amp; Owners'!$I$12,'W Budget &amp; Owners'!$F$12*'W Sites'!$G$12,0)</f>
        <v>0</v>
      </c>
      <c r="V292" s="81" t="n">
        <f aca="false">'W Sites'!$G$12*'W Budget &amp; Owners'!$E$12*INDEX('W Assumptions'!$D$27:$F$27,1,D292)*(IF(C292='W Budget &amp; Owners'!$I$12,'W Assumptions'!$D$65,0)+IF(C292=DATE(YEAR('W Sites'!$F$12),MONTH('W Sites'!$F$12),1),1-'W Assumptions'!$D$65,0))+'W Sites'!$G$12*'W Budget &amp; Owners'!$E$12*IF(C292=DATE(2027,9,1),'W Assumptions'!$D$67,IF(C292=DATE(2028,9,1),'W Assumptions'!$D$69,0))</f>
        <v>0</v>
      </c>
      <c r="W292" s="81" t="n">
        <f aca="false">IF(((YEAR(C292)-YEAR('W Sites'!$F$12))*12+MONTH(C292)-MONTH('W Sites'!$F$12))&lt;'W Budget &amp; Owners'!$H$12,'W Budget &amp; Owners'!$E$12/'W Budget &amp; Owners'!$H$12*F292,0)+IF(C292&gt;=DATE(2027,9,1),'W Budget &amp; Owners'!$E$12*'W Assumptions'!$D$67/'W Budget &amp; Owners'!$H$12*F292,0)+IF(C292&gt;=DATE(2028,9,1),'W Budget &amp; Owners'!$E$12*'W Assumptions'!$D$69/'W Budget &amp; Owners'!$H$12*F292,0)</f>
        <v>7875</v>
      </c>
      <c r="X292" s="81" t="n">
        <f aca="false">IF(C292='W Budget &amp; Owners'!$I$12,'W Budget &amp; Owners'!$G$12*'W Sites'!$G$12,0)</f>
        <v>0</v>
      </c>
      <c r="Y292" s="112" t="n">
        <f aca="false">IF(SUM($G$286:$G$295)=0,0,'W Fees &amp; KPI'!$Q$34*G292/SUM($G$286:$G$295))</f>
        <v>4536.55827900866</v>
      </c>
      <c r="Z292" s="119" t="n">
        <f aca="false">IF(SUM($G$286:$G$295)=0,0,SUM('W Fees &amp; KPI'!$J$34,'W Fees &amp; KPI'!$M$34)*G292/SUM($G$286:$G$295))</f>
        <v>5223.75</v>
      </c>
      <c r="AA292" s="117" t="n">
        <f aca="false">T292-U292-Z292-Y292</f>
        <v>24735.1361175305</v>
      </c>
      <c r="AB292" s="119" t="n">
        <f aca="false">IF('W Fees &amp; KPI'!$D$34=0,0,T292-U292-Z292)</f>
        <v>29271.6943965391</v>
      </c>
    </row>
    <row r="293" customFormat="false" ht="21" hidden="false" customHeight="true" outlineLevel="0" collapsed="false">
      <c r="C293" s="144" t="n">
        <f aca="false">47119</f>
        <v>47119</v>
      </c>
      <c r="D293" s="81" t="n">
        <f aca="false">3</f>
        <v>3</v>
      </c>
      <c r="E293" s="81" t="str">
        <f aca="false">'W Sites'!C13</f>
        <v>S08</v>
      </c>
      <c r="F293" s="145" t="n">
        <f aca="false">'W Sites'!$G$13*MAX(0,EOMONTH(C293,0)-MAX(C293,'W Sites'!$F$13)+1)/DAY(EOMONTH(C293,0))</f>
        <v>1</v>
      </c>
      <c r="G293" s="145" t="n">
        <f aca="false">'W Sites'!$G$13*MAX(0,EOMONTH(C293,0)-MAX(C293,'W Sites'!$F$13,'W Assumptions'!$D$58)+1)/DAY(EOMONTH(C293,0))</f>
        <v>1</v>
      </c>
      <c r="H293" s="81" t="n">
        <f aca="false">'W Sites'!$H$13*F293*'W Sites'!$I$13*IF(((YEAR(C293)-YEAR('W Sites'!$F$13))*12+MONTH(C293)-MONTH('W Sites'!$F$13))=0,'W Assumptions'!$D$62,IF(((YEAR(C293)-YEAR('W Sites'!$F$13))*12+MONTH(C293)-MONTH('W Sites'!$F$13))=1,'W Assumptions'!$D$63,1))*INDEX('W Assumptions'!$D$7:$F$7,1,D293)*INDEX('W Assumptions'!$D$32:$F$32,1,D293)*INDEX('W Assumptions'!$D$80:$D$91,MONTH(C293),1)/AVERAGE('W Assumptions'!$D$80:$D$91)</f>
        <v>4864.86</v>
      </c>
      <c r="I293" s="81" t="n">
        <f aca="false">H293*'W Sites'!$J$13/(1+'W Assumptions'!$D$39)*INDEX('W Assumptions'!$D$12:$F$12,1,D293)*INDEX('W Assumptions'!$D$33:$F$33,1,D293)</f>
        <v>179517.564313043</v>
      </c>
      <c r="J293" s="81" t="n">
        <f aca="false">H293*'W Sites'!$K$13/(1+'W Assumptions'!$D$39)*INDEX('W Assumptions'!$D$12:$F$12,1,D293)*INDEX('W Assumptions'!$D$33:$F$33,1,D293)</f>
        <v>22439.6955391304</v>
      </c>
      <c r="K293" s="81" t="n">
        <f aca="false">'W Sites'!$L$13*F293*IF(((YEAR(C293)-YEAR('W Sites'!$F$13))*12+MONTH(C293)-MONTH('W Sites'!$F$13))=0,'W Assumptions'!$D$62,IF(((YEAR(C293)-YEAR('W Sites'!$F$13))*12+MONTH(C293)-MONTH('W Sites'!$F$13))=1,'W Assumptions'!$D$63,1))*INDEX('W Assumptions'!$D$7:$F$7,1,D293)*INDEX('W Assumptions'!$D$32:$F$32,1,D293)</f>
        <v>17820</v>
      </c>
      <c r="L293" s="81" t="n">
        <f aca="false">SUM(I293:K293)</f>
        <v>219777.259852174</v>
      </c>
      <c r="M293" s="81" t="n">
        <f aca="false">'W Site Costs'!$I$13*F293*INDEX('W Assumptions'!$D$34:$F$34,1,D293)*INDEX('W Assumptions'!$D$22:$F$22,1,D293)</f>
        <v>58802.94</v>
      </c>
      <c r="N293" s="81" t="n">
        <f aca="false">'W Site Costs'!$J$13*F293*INDEX('W Assumptions'!$D$35:$F$35,1,D293)*INDEX('W Assumptions'!$D$22:$F$22,1,D293)</f>
        <v>0</v>
      </c>
      <c r="O293" s="81" t="n">
        <f aca="false">L293*'W Site Costs'!$K$13</f>
        <v>21977.7259852174</v>
      </c>
      <c r="P293" s="81" t="n">
        <f aca="false">SUM('W Site Costs'!$L$13:$Q$13)*F293*INDEX('W Assumptions'!$D$35:$F$35,1,D293)*INDEX('W Assumptions'!$D$22:$F$22,1,D293)</f>
        <v>27580.8</v>
      </c>
      <c r="Q293" s="81" t="n">
        <f aca="false">L293*'W Site Costs'!$R$13*INDEX('W Assumptions'!$D$17:$F$17,1,D293)</f>
        <v>17582.1807881739</v>
      </c>
      <c r="R293" s="112" t="n">
        <f aca="false">L293*'W Sites'!$M$13</f>
        <v>0</v>
      </c>
      <c r="S293" s="81" t="n">
        <f aca="false">SUM(M293:R293)</f>
        <v>125943.646773391</v>
      </c>
      <c r="T293" s="81" t="n">
        <f aca="false">L293-S293</f>
        <v>93833.6130787826</v>
      </c>
      <c r="U293" s="81" t="n">
        <f aca="false">IF(C293='W Budget &amp; Owners'!$I$13,'W Budget &amp; Owners'!$F$13*'W Sites'!$G$13,0)</f>
        <v>0</v>
      </c>
      <c r="V293" s="81" t="n">
        <f aca="false">'W Sites'!$G$13*'W Budget &amp; Owners'!$E$13*INDEX('W Assumptions'!$D$27:$F$27,1,D293)*(IF(C293='W Budget &amp; Owners'!$I$13,'W Assumptions'!$D$65,0)+IF(C293=DATE(YEAR('W Sites'!$F$13),MONTH('W Sites'!$F$13),1),1-'W Assumptions'!$D$65,0))+'W Sites'!$G$13*'W Budget &amp; Owners'!$E$13*IF(C293=DATE(2027,9,1),'W Assumptions'!$D$67,IF(C293=DATE(2028,9,1),'W Assumptions'!$D$69,0))</f>
        <v>0</v>
      </c>
      <c r="W293" s="81" t="n">
        <f aca="false">IF(((YEAR(C293)-YEAR('W Sites'!$F$13))*12+MONTH(C293)-MONTH('W Sites'!$F$13))&lt;'W Budget &amp; Owners'!$H$13,'W Budget &amp; Owners'!$E$13/'W Budget &amp; Owners'!$H$13*F293,0)+IF(C293&gt;=DATE(2027,9,1),'W Budget &amp; Owners'!$E$13*'W Assumptions'!$D$67/'W Budget &amp; Owners'!$H$13*F293,0)+IF(C293&gt;=DATE(2028,9,1),'W Budget &amp; Owners'!$E$13*'W Assumptions'!$D$69/'W Budget &amp; Owners'!$H$13*F293,0)</f>
        <v>21000</v>
      </c>
      <c r="X293" s="81" t="n">
        <f aca="false">IF(C293='W Budget &amp; Owners'!$I$13,'W Budget &amp; Owners'!$G$13*'W Sites'!$G$13,0)</f>
        <v>0</v>
      </c>
      <c r="Y293" s="112" t="n">
        <f aca="false">IF(SUM($G$286:$G$295)=0,0,'W Fees &amp; KPI'!$Q$34*G293/SUM($G$286:$G$295))</f>
        <v>4536.55827900866</v>
      </c>
      <c r="Z293" s="119" t="n">
        <f aca="false">IF(SUM($G$286:$G$295)=0,0,SUM('W Fees &amp; KPI'!$J$34,'W Fees &amp; KPI'!$M$34)*G293/SUM($G$286:$G$295))</f>
        <v>5223.75</v>
      </c>
      <c r="AA293" s="117" t="n">
        <f aca="false">T293-U293-Z293-Y293</f>
        <v>84073.3047997739</v>
      </c>
      <c r="AB293" s="119" t="n">
        <f aca="false">IF('W Fees &amp; KPI'!$D$34=0,0,T293-U293-Z293)</f>
        <v>88609.8630787826</v>
      </c>
    </row>
    <row r="294" customFormat="false" ht="21" hidden="false" customHeight="true" outlineLevel="0" collapsed="false">
      <c r="C294" s="144" t="n">
        <f aca="false">47119</f>
        <v>47119</v>
      </c>
      <c r="D294" s="81" t="n">
        <f aca="false">3</f>
        <v>3</v>
      </c>
      <c r="E294" s="81" t="str">
        <f aca="false">'W Sites'!C14</f>
        <v>S09</v>
      </c>
      <c r="F294" s="145" t="n">
        <f aca="false">'W Sites'!$G$14*MAX(0,EOMONTH(C294,0)-MAX(C294,'W Sites'!$F$14)+1)/DAY(EOMONTH(C294,0))</f>
        <v>0</v>
      </c>
      <c r="G294" s="145" t="n">
        <f aca="false">'W Sites'!$G$14*MAX(0,EOMONTH(C294,0)-MAX(C294,'W Sites'!$F$14,'W Assumptions'!$D$58)+1)/DAY(EOMONTH(C294,0))</f>
        <v>0</v>
      </c>
      <c r="H294" s="81" t="n">
        <f aca="false">'W Sites'!$H$14*F294*'W Sites'!$I$14*IF(((YEAR(C294)-YEAR('W Sites'!$F$14))*12+MONTH(C294)-MONTH('W Sites'!$F$14))=0,'W Assumptions'!$D$62,IF(((YEAR(C294)-YEAR('W Sites'!$F$14))*12+MONTH(C294)-MONTH('W Sites'!$F$14))=1,'W Assumptions'!$D$63,1))*INDEX('W Assumptions'!$D$7:$F$7,1,D294)*INDEX('W Assumptions'!$D$32:$F$32,1,D294)*INDEX('W Assumptions'!$D$80:$D$91,MONTH(C294),1)/AVERAGE('W Assumptions'!$D$80:$D$91)</f>
        <v>0</v>
      </c>
      <c r="I294" s="81" t="n">
        <f aca="false">H294*'W Sites'!$J$14/(1+'W Assumptions'!$D$39)*INDEX('W Assumptions'!$D$12:$F$12,1,D294)*INDEX('W Assumptions'!$D$33:$F$33,1,D294)</f>
        <v>0</v>
      </c>
      <c r="J294" s="81" t="n">
        <f aca="false">H294*'W Sites'!$K$14/(1+'W Assumptions'!$D$39)*INDEX('W Assumptions'!$D$12:$F$12,1,D294)*INDEX('W Assumptions'!$D$33:$F$33,1,D294)</f>
        <v>0</v>
      </c>
      <c r="K294" s="81" t="n">
        <f aca="false">'W Sites'!$L$14*F294*IF(((YEAR(C294)-YEAR('W Sites'!$F$14))*12+MONTH(C294)-MONTH('W Sites'!$F$14))=0,'W Assumptions'!$D$62,IF(((YEAR(C294)-YEAR('W Sites'!$F$14))*12+MONTH(C294)-MONTH('W Sites'!$F$14))=1,'W Assumptions'!$D$63,1))*INDEX('W Assumptions'!$D$7:$F$7,1,D294)*INDEX('W Assumptions'!$D$32:$F$32,1,D294)</f>
        <v>0</v>
      </c>
      <c r="L294" s="81" t="n">
        <f aca="false">SUM(I294:K294)</f>
        <v>0</v>
      </c>
      <c r="M294" s="81" t="n">
        <f aca="false">'W Site Costs'!$I$14*F294*INDEX('W Assumptions'!$D$34:$F$34,1,D294)*INDEX('W Assumptions'!$D$22:$F$22,1,D294)</f>
        <v>0</v>
      </c>
      <c r="N294" s="81" t="n">
        <f aca="false">'W Site Costs'!$J$14*F294*INDEX('W Assumptions'!$D$35:$F$35,1,D294)*INDEX('W Assumptions'!$D$22:$F$22,1,D294)</f>
        <v>0</v>
      </c>
      <c r="O294" s="81" t="n">
        <f aca="false">L294*'W Site Costs'!$K$14</f>
        <v>0</v>
      </c>
      <c r="P294" s="81" t="n">
        <f aca="false">SUM('W Site Costs'!$L$14:$Q$14)*F294*INDEX('W Assumptions'!$D$35:$F$35,1,D294)*INDEX('W Assumptions'!$D$22:$F$22,1,D294)</f>
        <v>0</v>
      </c>
      <c r="Q294" s="81" t="n">
        <f aca="false">L294*'W Site Costs'!$R$14*INDEX('W Assumptions'!$D$17:$F$17,1,D294)</f>
        <v>0</v>
      </c>
      <c r="R294" s="112" t="n">
        <f aca="false">L294*'W Sites'!$M$14</f>
        <v>0</v>
      </c>
      <c r="S294" s="81" t="n">
        <f aca="false">SUM(M294:R294)</f>
        <v>0</v>
      </c>
      <c r="T294" s="81" t="n">
        <f aca="false">L294-S294</f>
        <v>0</v>
      </c>
      <c r="U294" s="81" t="n">
        <f aca="false">IF(C294='W Budget &amp; Owners'!$I$14,'W Budget &amp; Owners'!$F$14*'W Sites'!$G$14,0)</f>
        <v>0</v>
      </c>
      <c r="V294" s="81" t="n">
        <f aca="false">'W Sites'!$G$14*'W Budget &amp; Owners'!$E$14*INDEX('W Assumptions'!$D$27:$F$27,1,D294)*(IF(C294='W Budget &amp; Owners'!$I$14,'W Assumptions'!$D$65,0)+IF(C294=DATE(YEAR('W Sites'!$F$14),MONTH('W Sites'!$F$14),1),1-'W Assumptions'!$D$65,0))+'W Sites'!$G$14*'W Budget &amp; Owners'!$E$14*IF(C294=DATE(2027,9,1),'W Assumptions'!$D$67,IF(C294=DATE(2028,9,1),'W Assumptions'!$D$69,0))</f>
        <v>0</v>
      </c>
      <c r="W294" s="81" t="n">
        <f aca="false">IF(((YEAR(C294)-YEAR('W Sites'!$F$14))*12+MONTH(C294)-MONTH('W Sites'!$F$14))&lt;'W Budget &amp; Owners'!$H$14,'W Budget &amp; Owners'!$E$14/'W Budget &amp; Owners'!$H$14*F294,0)+IF(C294&gt;=DATE(2027,9,1),'W Budget &amp; Owners'!$E$14*'W Assumptions'!$D$67/'W Budget &amp; Owners'!$H$14*F294,0)+IF(C294&gt;=DATE(2028,9,1),'W Budget &amp; Owners'!$E$14*'W Assumptions'!$D$69/'W Budget &amp; Owners'!$H$14*F294,0)</f>
        <v>0</v>
      </c>
      <c r="X294" s="81" t="n">
        <f aca="false">IF(C294='W Budget &amp; Owners'!$I$14,'W Budget &amp; Owners'!$G$14*'W Sites'!$G$14,0)</f>
        <v>0</v>
      </c>
      <c r="Y294" s="112" t="n">
        <f aca="false">IF(SUM($G$286:$G$295)=0,0,'W Fees &amp; KPI'!$Q$34*G294/SUM($G$286:$G$295))</f>
        <v>0</v>
      </c>
      <c r="Z294" s="119" t="n">
        <f aca="false">IF(SUM($G$286:$G$295)=0,0,SUM('W Fees &amp; KPI'!$J$34,'W Fees &amp; KPI'!$M$34)*G294/SUM($G$286:$G$295))</f>
        <v>0</v>
      </c>
      <c r="AA294" s="117" t="n">
        <f aca="false">T294-U294-Z294-Y294</f>
        <v>0</v>
      </c>
      <c r="AB294" s="119" t="n">
        <f aca="false">IF('W Fees &amp; KPI'!$D$34=0,0,T294-U294-Z294)</f>
        <v>0</v>
      </c>
    </row>
    <row r="295" customFormat="false" ht="21" hidden="false" customHeight="true" outlineLevel="0" collapsed="false">
      <c r="C295" s="144" t="n">
        <f aca="false">47119</f>
        <v>47119</v>
      </c>
      <c r="D295" s="81" t="n">
        <f aca="false">3</f>
        <v>3</v>
      </c>
      <c r="E295" s="81" t="str">
        <f aca="false">'W Sites'!C15</f>
        <v>S10</v>
      </c>
      <c r="F295" s="145" t="n">
        <f aca="false">'W Sites'!$G$15*MAX(0,EOMONTH(C295,0)-MAX(C295,'W Sites'!$F$15)+1)/DAY(EOMONTH(C295,0))</f>
        <v>0</v>
      </c>
      <c r="G295" s="145" t="n">
        <f aca="false">'W Sites'!$G$15*MAX(0,EOMONTH(C295,0)-MAX(C295,'W Sites'!$F$15,'W Assumptions'!$D$58)+1)/DAY(EOMONTH(C295,0))</f>
        <v>0</v>
      </c>
      <c r="H295" s="81" t="n">
        <f aca="false">'W Sites'!$H$15*F295*'W Sites'!$I$15*IF(((YEAR(C295)-YEAR('W Sites'!$F$15))*12+MONTH(C295)-MONTH('W Sites'!$F$15))=0,'W Assumptions'!$D$62,IF(((YEAR(C295)-YEAR('W Sites'!$F$15))*12+MONTH(C295)-MONTH('W Sites'!$F$15))=1,'W Assumptions'!$D$63,1))*INDEX('W Assumptions'!$D$7:$F$7,1,D295)*INDEX('W Assumptions'!$D$32:$F$32,1,D295)*INDEX('W Assumptions'!$D$80:$D$91,MONTH(C295),1)/AVERAGE('W Assumptions'!$D$80:$D$91)</f>
        <v>0</v>
      </c>
      <c r="I295" s="81" t="n">
        <f aca="false">H295*'W Sites'!$J$15/(1+'W Assumptions'!$D$39)*INDEX('W Assumptions'!$D$12:$F$12,1,D295)*INDEX('W Assumptions'!$D$33:$F$33,1,D295)</f>
        <v>0</v>
      </c>
      <c r="J295" s="81" t="n">
        <f aca="false">H295*'W Sites'!$K$15/(1+'W Assumptions'!$D$39)*INDEX('W Assumptions'!$D$12:$F$12,1,D295)*INDEX('W Assumptions'!$D$33:$F$33,1,D295)</f>
        <v>0</v>
      </c>
      <c r="K295" s="81" t="n">
        <f aca="false">'W Sites'!$L$15*F295*IF(((YEAR(C295)-YEAR('W Sites'!$F$15))*12+MONTH(C295)-MONTH('W Sites'!$F$15))=0,'W Assumptions'!$D$62,IF(((YEAR(C295)-YEAR('W Sites'!$F$15))*12+MONTH(C295)-MONTH('W Sites'!$F$15))=1,'W Assumptions'!$D$63,1))*INDEX('W Assumptions'!$D$7:$F$7,1,D295)*INDEX('W Assumptions'!$D$32:$F$32,1,D295)</f>
        <v>0</v>
      </c>
      <c r="L295" s="81" t="n">
        <f aca="false">SUM(I295:K295)</f>
        <v>0</v>
      </c>
      <c r="M295" s="81" t="n">
        <f aca="false">'W Site Costs'!$I$15*F295*INDEX('W Assumptions'!$D$34:$F$34,1,D295)*INDEX('W Assumptions'!$D$22:$F$22,1,D295)</f>
        <v>0</v>
      </c>
      <c r="N295" s="81" t="n">
        <f aca="false">'W Site Costs'!$J$15*F295*INDEX('W Assumptions'!$D$35:$F$35,1,D295)*INDEX('W Assumptions'!$D$22:$F$22,1,D295)</f>
        <v>0</v>
      </c>
      <c r="O295" s="81" t="n">
        <f aca="false">L295*'W Site Costs'!$K$15</f>
        <v>0</v>
      </c>
      <c r="P295" s="81" t="n">
        <f aca="false">SUM('W Site Costs'!$L$15:$Q$15)*F295*INDEX('W Assumptions'!$D$35:$F$35,1,D295)*INDEX('W Assumptions'!$D$22:$F$22,1,D295)</f>
        <v>0</v>
      </c>
      <c r="Q295" s="81" t="n">
        <f aca="false">L295*'W Site Costs'!$R$15*INDEX('W Assumptions'!$D$17:$F$17,1,D295)</f>
        <v>0</v>
      </c>
      <c r="R295" s="112" t="n">
        <f aca="false">L295*'W Sites'!$M$15</f>
        <v>0</v>
      </c>
      <c r="S295" s="81" t="n">
        <f aca="false">SUM(M295:R295)</f>
        <v>0</v>
      </c>
      <c r="T295" s="81" t="n">
        <f aca="false">L295-S295</f>
        <v>0</v>
      </c>
      <c r="U295" s="81" t="n">
        <f aca="false">IF(C295='W Budget &amp; Owners'!$I$15,'W Budget &amp; Owners'!$F$15*'W Sites'!$G$15,0)</f>
        <v>0</v>
      </c>
      <c r="V295" s="81" t="n">
        <f aca="false">'W Sites'!$G$15*'W Budget &amp; Owners'!$E$15*INDEX('W Assumptions'!$D$27:$F$27,1,D295)*(IF(C295='W Budget &amp; Owners'!$I$15,'W Assumptions'!$D$65,0)+IF(C295=DATE(YEAR('W Sites'!$F$15),MONTH('W Sites'!$F$15),1),1-'W Assumptions'!$D$65,0))+'W Sites'!$G$15*'W Budget &amp; Owners'!$E$15*IF(C295=DATE(2027,9,1),'W Assumptions'!$D$67,IF(C295=DATE(2028,9,1),'W Assumptions'!$D$69,0))</f>
        <v>0</v>
      </c>
      <c r="W295" s="81" t="n">
        <f aca="false">IF(((YEAR(C295)-YEAR('W Sites'!$F$15))*12+MONTH(C295)-MONTH('W Sites'!$F$15))&lt;'W Budget &amp; Owners'!$H$15,'W Budget &amp; Owners'!$E$15/'W Budget &amp; Owners'!$H$15*F295,0)+IF(C295&gt;=DATE(2027,9,1),'W Budget &amp; Owners'!$E$15*'W Assumptions'!$D$67/'W Budget &amp; Owners'!$H$15*F295,0)+IF(C295&gt;=DATE(2028,9,1),'W Budget &amp; Owners'!$E$15*'W Assumptions'!$D$69/'W Budget &amp; Owners'!$H$15*F295,0)</f>
        <v>0</v>
      </c>
      <c r="X295" s="81" t="n">
        <f aca="false">IF(C295='W Budget &amp; Owners'!$I$15,'W Budget &amp; Owners'!$G$15*'W Sites'!$G$15,0)</f>
        <v>0</v>
      </c>
      <c r="Y295" s="112" t="n">
        <f aca="false">IF(SUM($G$286:$G$295)=0,0,'W Fees &amp; KPI'!$Q$34*G295/SUM($G$286:$G$295))</f>
        <v>0</v>
      </c>
      <c r="Z295" s="119" t="n">
        <f aca="false">IF(SUM($G$286:$G$295)=0,0,SUM('W Fees &amp; KPI'!$J$34,'W Fees &amp; KPI'!$M$34)*G295/SUM($G$286:$G$295))</f>
        <v>0</v>
      </c>
      <c r="AA295" s="117" t="n">
        <f aca="false">T295-U295-Z295-Y295</f>
        <v>0</v>
      </c>
      <c r="AB295" s="119" t="n">
        <f aca="false">IF('W Fees &amp; KPI'!$D$34=0,0,T295-U295-Z295)</f>
        <v>0</v>
      </c>
    </row>
    <row r="296" customFormat="false" ht="21" hidden="false" customHeight="true" outlineLevel="0" collapsed="false">
      <c r="C296" s="144" t="n">
        <f aca="false">47150</f>
        <v>47150</v>
      </c>
      <c r="D296" s="81" t="n">
        <f aca="false">3</f>
        <v>3</v>
      </c>
      <c r="E296" s="81" t="str">
        <f aca="false">'W Sites'!C6</f>
        <v>S01</v>
      </c>
      <c r="F296" s="145" t="n">
        <f aca="false">'W Sites'!$G$6*MAX(0,EOMONTH(C296,0)-MAX(C296,'W Sites'!$F$6)+1)/DAY(EOMONTH(C296,0))</f>
        <v>1</v>
      </c>
      <c r="G296" s="145" t="n">
        <f aca="false">'W Sites'!$G$6*MAX(0,EOMONTH(C296,0)-MAX(C296,'W Sites'!$F$6,'W Assumptions'!$D$58)+1)/DAY(EOMONTH(C296,0))</f>
        <v>1</v>
      </c>
      <c r="H296" s="81" t="n">
        <f aca="false">'W Sites'!$D$45*INDEX('W Sites'!$E$65:$E$76,MONTH(C296),1)/SUM('W Sites'!$E$65:$E$76)*F296*(1+'W Sites'!$D$56)^(D296-1)*INDEX('W Assumptions'!$D$7:$F$7,1,D296)</f>
        <v>3292.148</v>
      </c>
      <c r="I296" s="81" t="n">
        <f aca="false">H296*'W Sites'!$D$46/(1+'W Sites'!$D$54*'W Assumptions'!$D$39)*INDEX('W Assumptions'!$D$12:$F$12,1,D296)</f>
        <v>181068.14</v>
      </c>
      <c r="J296" s="81" t="n">
        <f aca="false">H296*SUM('W Sites'!$D$47:$D$49)/(1+'W Sites'!$D$54*'W Assumptions'!$D$39)*INDEX('W Assumptions'!$D$12:$F$12,1,D296)</f>
        <v>98764.44</v>
      </c>
      <c r="K296" s="81" t="n">
        <f aca="false">SUM('W Sites'!$D$50:$D$52)/12*F296*(1+'W Sites'!$D$56)^(D296-1)*INDEX('W Assumptions'!$D$7:$F$7,1,D296)*INDEX('W Assumptions'!$D$12:$F$12,1,D296)/(1+'W Sites'!$D$54*'W Assumptions'!$D$39)</f>
        <v>37453.3333333333</v>
      </c>
      <c r="L296" s="81" t="n">
        <f aca="false">SUM(I296:K296)</f>
        <v>317285.913333333</v>
      </c>
      <c r="M296" s="81" t="n">
        <f aca="false">('W Site Costs'!$I$6+INDEX('W Sites'!$F$65:$F$76,MONTH(C296),1)*'W Site Costs'!$V$6)*F296*(1+'W Sites'!$D$58)^(D296-1)*INDEX('W Assumptions'!$D$22:$F$22,1,D296)</f>
        <v>117353.6</v>
      </c>
      <c r="N296" s="81" t="n">
        <f aca="false">'W Site Costs'!$J$6*F296*INDEX('W Assumptions'!$D$35:$F$35,1,D296)*INDEX('W Assumptions'!$D$22:$F$22,1,D296)</f>
        <v>16224</v>
      </c>
      <c r="O296" s="81" t="n">
        <f aca="false">L296*'W Site Costs'!$K$6</f>
        <v>0</v>
      </c>
      <c r="P296" s="81" t="n">
        <f aca="false">(SUM('W Site Costs'!$L$6:$Q$6)+INDEX('W Sites'!$F$65:$F$76,MONTH(C296),1)*'W Site Costs'!$W$6)*F296*(1+'W Sites'!$D$58)^(D296-1)*INDEX('W Assumptions'!$D$22:$F$22,1,D296)</f>
        <v>80038.4</v>
      </c>
      <c r="Q296" s="81" t="n">
        <f aca="false">('W Site Costs'!$X$6+INDEX('W Sites'!$F$65:$F$76,MONTH(C296),1)*'W Site Costs'!$Y$6)*F296*(1+'W Sites'!$D$58)^(D296-1)*INDEX('W Assumptions'!$D$17:$F$17,1,D296)</f>
        <v>19468.8</v>
      </c>
      <c r="R296" s="112" t="n">
        <f aca="false">L296*'W Sites'!$M$6</f>
        <v>0</v>
      </c>
      <c r="S296" s="81" t="n">
        <f aca="false">SUM(M296:R296)</f>
        <v>233084.8</v>
      </c>
      <c r="T296" s="81" t="n">
        <f aca="false">L296-S296</f>
        <v>84201.1133333335</v>
      </c>
      <c r="U296" s="81" t="n">
        <f aca="false">IF(C296='W Budget &amp; Owners'!$I$6,'W Budget &amp; Owners'!$F$6*'W Sites'!$G$6,0)</f>
        <v>0</v>
      </c>
      <c r="V296" s="81" t="n">
        <f aca="false">'W Sites'!$G$6*'W Budget &amp; Owners'!$E$6*INDEX('W Assumptions'!$D$27:$F$27,1,D296)*(IF(C296='W Budget &amp; Owners'!$I$6,'W Assumptions'!$D$65,0)+IF(C296=DATE(YEAR('W Sites'!$F$6),MONTH('W Sites'!$F$6),1),1-'W Assumptions'!$D$65,0))+'W Sites'!$G$6*'W Budget &amp; Owners'!$E$6*IF(C296=DATE(2027,9,1),'W Assumptions'!$D$67,IF(C296=DATE(2028,9,1),'W Assumptions'!$D$69,0))</f>
        <v>0</v>
      </c>
      <c r="W296" s="81" t="n">
        <f aca="false">IF(((YEAR(C296)-YEAR('W Sites'!$F$6))*12+MONTH(C296)-MONTH('W Sites'!$F$6))&lt;'W Budget &amp; Owners'!$H$6,'W Budget &amp; Owners'!$E$6/'W Budget &amp; Owners'!$H$6*F296,0)+IF(C296&gt;=DATE(2027,9,1),'W Budget &amp; Owners'!$E$6*'W Assumptions'!$D$67/'W Budget &amp; Owners'!$H$6*F296,0)+IF(C296&gt;=DATE(2028,9,1),'W Budget &amp; Owners'!$E$6*'W Assumptions'!$D$69/'W Budget &amp; Owners'!$H$6*F296,0)</f>
        <v>6125</v>
      </c>
      <c r="X296" s="81" t="n">
        <f aca="false">IF(C296='W Budget &amp; Owners'!$I$6,'W Budget &amp; Owners'!$G$6*'W Sites'!$G$6,0)</f>
        <v>0</v>
      </c>
      <c r="Y296" s="112" t="n">
        <f aca="false">IF(SUM($G$296:$G$305)=0,0,'W Fees &amp; KPI'!$Q$35*G296/SUM($G$296:$G$305))</f>
        <v>3214.27221165507</v>
      </c>
      <c r="Z296" s="119" t="n">
        <f aca="false">IF(SUM($G$296:$G$305)=0,0,SUM('W Fees &amp; KPI'!$J$35,'W Fees &amp; KPI'!$M$35)*G296/SUM($G$296:$G$305))</f>
        <v>5223.75</v>
      </c>
      <c r="AA296" s="117" t="n">
        <f aca="false">T296-U296-Z296-Y296</f>
        <v>75763.0911216784</v>
      </c>
      <c r="AB296" s="119" t="n">
        <f aca="false">IF('W Fees &amp; KPI'!$D$35=0,0,T296-U296-Z296)</f>
        <v>78977.3633333335</v>
      </c>
    </row>
    <row r="297" customFormat="false" ht="21" hidden="false" customHeight="true" outlineLevel="0" collapsed="false">
      <c r="C297" s="144" t="n">
        <f aca="false">47150</f>
        <v>47150</v>
      </c>
      <c r="D297" s="81" t="n">
        <f aca="false">3</f>
        <v>3</v>
      </c>
      <c r="E297" s="81" t="str">
        <f aca="false">'W Sites'!C7</f>
        <v>S02</v>
      </c>
      <c r="F297" s="145" t="n">
        <f aca="false">'W Sites'!$G$7*MAX(0,EOMONTH(C297,0)-MAX(C297,'W Sites'!$F$7)+1)/DAY(EOMONTH(C297,0))</f>
        <v>1</v>
      </c>
      <c r="G297" s="145" t="n">
        <f aca="false">'W Sites'!$G$7*MAX(0,EOMONTH(C297,0)-MAX(C297,'W Sites'!$F$7,'W Assumptions'!$D$58)+1)/DAY(EOMONTH(C297,0))</f>
        <v>1</v>
      </c>
      <c r="H297" s="81" t="n">
        <f aca="false">'W Sites'!$H$7*F297*'W Sites'!$I$7*IF(((YEAR(C297)-YEAR('W Sites'!$F$7))*12+MONTH(C297)-MONTH('W Sites'!$F$7))=0,'W Assumptions'!$D$62,IF(((YEAR(C297)-YEAR('W Sites'!$F$7))*12+MONTH(C297)-MONTH('W Sites'!$F$7))=1,'W Assumptions'!$D$63,1))*INDEX('W Assumptions'!$D$7:$F$7,1,D297)*INDEX('W Assumptions'!$D$32:$F$32,1,D297)*INDEX('W Assumptions'!$D$80:$D$91,MONTH(C297),1)/AVERAGE('W Assumptions'!$D$80:$D$91)</f>
        <v>2494.8</v>
      </c>
      <c r="I297" s="81" t="n">
        <f aca="false">H297*'W Sites'!$J$7/(1+'W Assumptions'!$D$39)*INDEX('W Assumptions'!$D$12:$F$12,1,D297)*INDEX('W Assumptions'!$D$33:$F$33,1,D297)</f>
        <v>80552.7532173913</v>
      </c>
      <c r="J297" s="81" t="n">
        <f aca="false">H297*'W Sites'!$K$7/(1+'W Assumptions'!$D$39)*INDEX('W Assumptions'!$D$12:$F$12,1,D297)*INDEX('W Assumptions'!$D$33:$F$33,1,D297)</f>
        <v>6904.52170434783</v>
      </c>
      <c r="K297" s="81" t="n">
        <f aca="false">'W Sites'!$L$7*F297*IF(((YEAR(C297)-YEAR('W Sites'!$F$7))*12+MONTH(C297)-MONTH('W Sites'!$F$7))=0,'W Assumptions'!$D$62,IF(((YEAR(C297)-YEAR('W Sites'!$F$7))*12+MONTH(C297)-MONTH('W Sites'!$F$7))=1,'W Assumptions'!$D$63,1))*INDEX('W Assumptions'!$D$7:$F$7,1,D297)*INDEX('W Assumptions'!$D$32:$F$32,1,D297)</f>
        <v>5940</v>
      </c>
      <c r="L297" s="81" t="n">
        <f aca="false">SUM(I297:K297)</f>
        <v>93397.2749217391</v>
      </c>
      <c r="M297" s="81" t="n">
        <f aca="false">'W Site Costs'!$I$7*F297*INDEX('W Assumptions'!$D$34:$F$34,1,D297)*INDEX('W Assumptions'!$D$22:$F$22,1,D297)</f>
        <v>35776.125</v>
      </c>
      <c r="N297" s="81" t="n">
        <f aca="false">'W Site Costs'!$J$7*F297*INDEX('W Assumptions'!$D$35:$F$35,1,D297)*INDEX('W Assumptions'!$D$22:$F$22,1,D297)</f>
        <v>0</v>
      </c>
      <c r="O297" s="81" t="n">
        <f aca="false">L297*'W Site Costs'!$K$7</f>
        <v>14009.5912382609</v>
      </c>
      <c r="P297" s="81" t="n">
        <f aca="false">SUM('W Site Costs'!$L$7:$Q$7)*F297*INDEX('W Assumptions'!$D$35:$F$35,1,D297)*INDEX('W Assumptions'!$D$22:$F$22,1,D297)</f>
        <v>12654.72</v>
      </c>
      <c r="Q297" s="81" t="n">
        <f aca="false">L297*'W Site Costs'!$R$7*INDEX('W Assumptions'!$D$17:$F$17,1,D297)</f>
        <v>5603.83649530435</v>
      </c>
      <c r="R297" s="112" t="n">
        <f aca="false">L297*'W Sites'!$M$7</f>
        <v>0</v>
      </c>
      <c r="S297" s="81" t="n">
        <f aca="false">SUM(M297:R297)</f>
        <v>68044.2727335652</v>
      </c>
      <c r="T297" s="81" t="n">
        <f aca="false">L297-S297</f>
        <v>25353.0021881739</v>
      </c>
      <c r="U297" s="81" t="n">
        <f aca="false">IF(C297='W Budget &amp; Owners'!$I$7,'W Budget &amp; Owners'!$F$7*'W Sites'!$G$7,0)</f>
        <v>0</v>
      </c>
      <c r="V297" s="81" t="n">
        <f aca="false">'W Sites'!$G$7*'W Budget &amp; Owners'!$E$7*INDEX('W Assumptions'!$D$27:$F$27,1,D297)*(IF(C297='W Budget &amp; Owners'!$I$7,'W Assumptions'!$D$65,0)+IF(C297=DATE(YEAR('W Sites'!$F$7),MONTH('W Sites'!$F$7),1),1-'W Assumptions'!$D$65,0))+'W Sites'!$G$7*'W Budget &amp; Owners'!$E$7*IF(C297=DATE(2027,9,1),'W Assumptions'!$D$67,IF(C297=DATE(2028,9,1),'W Assumptions'!$D$69,0))</f>
        <v>0</v>
      </c>
      <c r="W297" s="81" t="n">
        <f aca="false">IF(((YEAR(C297)-YEAR('W Sites'!$F$7))*12+MONTH(C297)-MONTH('W Sites'!$F$7))&lt;'W Budget &amp; Owners'!$H$7,'W Budget &amp; Owners'!$E$7/'W Budget &amp; Owners'!$H$7*F297,0)+IF(C297&gt;=DATE(2027,9,1),'W Budget &amp; Owners'!$E$7*'W Assumptions'!$D$67/'W Budget &amp; Owners'!$H$7*F297,0)+IF(C297&gt;=DATE(2028,9,1),'W Budget &amp; Owners'!$E$7*'W Assumptions'!$D$69/'W Budget &amp; Owners'!$H$7*F297,0)</f>
        <v>1400</v>
      </c>
      <c r="X297" s="81" t="n">
        <f aca="false">IF(C297='W Budget &amp; Owners'!$I$7,'W Budget &amp; Owners'!$G$7*'W Sites'!$G$7,0)</f>
        <v>0</v>
      </c>
      <c r="Y297" s="112" t="n">
        <f aca="false">IF(SUM($G$296:$G$305)=0,0,'W Fees &amp; KPI'!$Q$35*G297/SUM($G$296:$G$305))</f>
        <v>3214.27221165507</v>
      </c>
      <c r="Z297" s="119" t="n">
        <f aca="false">IF(SUM($G$296:$G$305)=0,0,SUM('W Fees &amp; KPI'!$J$35,'W Fees &amp; KPI'!$M$35)*G297/SUM($G$296:$G$305))</f>
        <v>5223.75</v>
      </c>
      <c r="AA297" s="117" t="n">
        <f aca="false">T297-U297-Z297-Y297</f>
        <v>16914.9799765188</v>
      </c>
      <c r="AB297" s="119" t="n">
        <f aca="false">IF('W Fees &amp; KPI'!$D$35=0,0,T297-U297-Z297)</f>
        <v>20129.2521881739</v>
      </c>
    </row>
    <row r="298" customFormat="false" ht="21" hidden="false" customHeight="true" outlineLevel="0" collapsed="false">
      <c r="C298" s="144" t="n">
        <f aca="false">47150</f>
        <v>47150</v>
      </c>
      <c r="D298" s="81" t="n">
        <f aca="false">3</f>
        <v>3</v>
      </c>
      <c r="E298" s="81" t="str">
        <f aca="false">'W Sites'!C8</f>
        <v>S03</v>
      </c>
      <c r="F298" s="145" t="n">
        <f aca="false">'W Sites'!$G$8*MAX(0,EOMONTH(C298,0)-MAX(C298,'W Sites'!$F$8)+1)/DAY(EOMONTH(C298,0))</f>
        <v>1</v>
      </c>
      <c r="G298" s="145" t="n">
        <f aca="false">'W Sites'!$G$8*MAX(0,EOMONTH(C298,0)-MAX(C298,'W Sites'!$F$8,'W Assumptions'!$D$58)+1)/DAY(EOMONTH(C298,0))</f>
        <v>1</v>
      </c>
      <c r="H298" s="81" t="n">
        <f aca="false">'W Sites'!$H$8*F298*'W Sites'!$I$8*IF(((YEAR(C298)-YEAR('W Sites'!$F$8))*12+MONTH(C298)-MONTH('W Sites'!$F$8))=0,'W Assumptions'!$D$62,IF(((YEAR(C298)-YEAR('W Sites'!$F$8))*12+MONTH(C298)-MONTH('W Sites'!$F$8))=1,'W Assumptions'!$D$63,1))*INDEX('W Assumptions'!$D$7:$F$7,1,D298)*INDEX('W Assumptions'!$D$32:$F$32,1,D298)*INDEX('W Assumptions'!$D$80:$D$91,MONTH(C298),1)/AVERAGE('W Assumptions'!$D$80:$D$91)</f>
        <v>3368.71232876712</v>
      </c>
      <c r="I298" s="81" t="n">
        <f aca="false">H298*'W Sites'!$J$8/(1+'W Assumptions'!$D$39)*INDEX('W Assumptions'!$D$12:$F$12,1,D298)*INDEX('W Assumptions'!$D$33:$F$33,1,D298)</f>
        <v>202001.173150685</v>
      </c>
      <c r="J298" s="81" t="n">
        <f aca="false">H298*'W Sites'!$K$8/(1+'W Assumptions'!$D$39)*INDEX('W Assumptions'!$D$12:$F$12,1,D298)*INDEX('W Assumptions'!$D$33:$F$33,1,D298)</f>
        <v>24861.6828493151</v>
      </c>
      <c r="K298" s="81" t="n">
        <f aca="false">'W Sites'!$L$8*F298*IF(((YEAR(C298)-YEAR('W Sites'!$F$8))*12+MONTH(C298)-MONTH('W Sites'!$F$8))=0,'W Assumptions'!$D$62,IF(((YEAR(C298)-YEAR('W Sites'!$F$8))*12+MONTH(C298)-MONTH('W Sites'!$F$8))=1,'W Assumptions'!$D$63,1))*INDEX('W Assumptions'!$D$7:$F$7,1,D298)*INDEX('W Assumptions'!$D$32:$F$32,1,D298)</f>
        <v>23760</v>
      </c>
      <c r="L298" s="81" t="n">
        <f aca="false">SUM(I298:K298)</f>
        <v>250622.856</v>
      </c>
      <c r="M298" s="81" t="n">
        <f aca="false">'W Site Costs'!$I$8*F298*INDEX('W Assumptions'!$D$34:$F$34,1,D298)*INDEX('W Assumptions'!$D$22:$F$22,1,D298)</f>
        <v>52948.665</v>
      </c>
      <c r="N298" s="81" t="n">
        <f aca="false">'W Site Costs'!$J$8*F298*INDEX('W Assumptions'!$D$35:$F$35,1,D298)*INDEX('W Assumptions'!$D$22:$F$22,1,D298)</f>
        <v>37856</v>
      </c>
      <c r="O298" s="81" t="n">
        <f aca="false">L298*'W Site Costs'!$K$8</f>
        <v>0</v>
      </c>
      <c r="P298" s="81" t="n">
        <f aca="false">SUM('W Site Costs'!$L$8:$Q$8)*F298*INDEX('W Assumptions'!$D$35:$F$35,1,D298)*INDEX('W Assumptions'!$D$22:$F$22,1,D298)</f>
        <v>21091.2</v>
      </c>
      <c r="Q298" s="81" t="n">
        <f aca="false">L298*'W Site Costs'!$R$8*INDEX('W Assumptions'!$D$17:$F$17,1,D298)</f>
        <v>20049.82848</v>
      </c>
      <c r="R298" s="112" t="n">
        <f aca="false">L298*'W Sites'!$M$8</f>
        <v>0</v>
      </c>
      <c r="S298" s="81" t="n">
        <f aca="false">SUM(M298:R298)</f>
        <v>131945.69348</v>
      </c>
      <c r="T298" s="81" t="n">
        <f aca="false">L298-S298</f>
        <v>118677.16252</v>
      </c>
      <c r="U298" s="81" t="n">
        <f aca="false">IF(C298='W Budget &amp; Owners'!$I$8,'W Budget &amp; Owners'!$F$8*'W Sites'!$G$8,0)</f>
        <v>0</v>
      </c>
      <c r="V298" s="81" t="n">
        <f aca="false">'W Sites'!$G$8*'W Budget &amp; Owners'!$E$8*INDEX('W Assumptions'!$D$27:$F$27,1,D298)*(IF(C298='W Budget &amp; Owners'!$I$8,'W Assumptions'!$D$65,0)+IF(C298=DATE(YEAR('W Sites'!$F$8),MONTH('W Sites'!$F$8),1),1-'W Assumptions'!$D$65,0))+'W Sites'!$G$8*'W Budget &amp; Owners'!$E$8*IF(C298=DATE(2027,9,1),'W Assumptions'!$D$67,IF(C298=DATE(2028,9,1),'W Assumptions'!$D$69,0))</f>
        <v>0</v>
      </c>
      <c r="W298" s="81" t="n">
        <f aca="false">IF(((YEAR(C298)-YEAR('W Sites'!$F$8))*12+MONTH(C298)-MONTH('W Sites'!$F$8))&lt;'W Budget &amp; Owners'!$H$8,'W Budget &amp; Owners'!$E$8/'W Budget &amp; Owners'!$H$8*F298,0)+IF(C298&gt;=DATE(2027,9,1),'W Budget &amp; Owners'!$E$8*'W Assumptions'!$D$67/'W Budget &amp; Owners'!$H$8*F298,0)+IF(C298&gt;=DATE(2028,9,1),'W Budget &amp; Owners'!$E$8*'W Assumptions'!$D$69/'W Budget &amp; Owners'!$H$8*F298,0)</f>
        <v>10500</v>
      </c>
      <c r="X298" s="81" t="n">
        <f aca="false">IF(C298='W Budget &amp; Owners'!$I$8,'W Budget &amp; Owners'!$G$8*'W Sites'!$G$8,0)</f>
        <v>0</v>
      </c>
      <c r="Y298" s="112" t="n">
        <f aca="false">IF(SUM($G$296:$G$305)=0,0,'W Fees &amp; KPI'!$Q$35*G298/SUM($G$296:$G$305))</f>
        <v>3214.27221165507</v>
      </c>
      <c r="Z298" s="119" t="n">
        <f aca="false">IF(SUM($G$296:$G$305)=0,0,SUM('W Fees &amp; KPI'!$J$35,'W Fees &amp; KPI'!$M$35)*G298/SUM($G$296:$G$305))</f>
        <v>5223.75</v>
      </c>
      <c r="AA298" s="117" t="n">
        <f aca="false">T298-U298-Z298-Y298</f>
        <v>110239.140308345</v>
      </c>
      <c r="AB298" s="119" t="n">
        <f aca="false">IF('W Fees &amp; KPI'!$D$35=0,0,T298-U298-Z298)</f>
        <v>113453.41252</v>
      </c>
    </row>
    <row r="299" customFormat="false" ht="21" hidden="false" customHeight="true" outlineLevel="0" collapsed="false">
      <c r="C299" s="144" t="n">
        <f aca="false">47150</f>
        <v>47150</v>
      </c>
      <c r="D299" s="81" t="n">
        <f aca="false">3</f>
        <v>3</v>
      </c>
      <c r="E299" s="81" t="str">
        <f aca="false">'W Sites'!C9</f>
        <v>S04</v>
      </c>
      <c r="F299" s="145" t="n">
        <f aca="false">'W Sites'!$G$9*MAX(0,EOMONTH(C299,0)-MAX(C299,'W Sites'!$F$9)+1)/DAY(EOMONTH(C299,0))</f>
        <v>1</v>
      </c>
      <c r="G299" s="145" t="n">
        <f aca="false">'W Sites'!$G$9*MAX(0,EOMONTH(C299,0)-MAX(C299,'W Sites'!$F$9,'W Assumptions'!$D$58)+1)/DAY(EOMONTH(C299,0))</f>
        <v>1</v>
      </c>
      <c r="H299" s="81" t="n">
        <f aca="false">'W Sites'!$H$9*F299*'W Sites'!$I$9*IF(((YEAR(C299)-YEAR('W Sites'!$F$9))*12+MONTH(C299)-MONTH('W Sites'!$F$9))=0,'W Assumptions'!$D$62,IF(((YEAR(C299)-YEAR('W Sites'!$F$9))*12+MONTH(C299)-MONTH('W Sites'!$F$9))=1,'W Assumptions'!$D$63,1))*INDEX('W Assumptions'!$D$7:$F$7,1,D299)*INDEX('W Assumptions'!$D$32:$F$32,1,D299)*INDEX('W Assumptions'!$D$80:$D$91,MONTH(C299),1)/AVERAGE('W Assumptions'!$D$80:$D$91)</f>
        <v>2371.875</v>
      </c>
      <c r="I299" s="81" t="n">
        <f aca="false">H299*'W Sites'!$J$9/(1+'W Assumptions'!$D$39)*INDEX('W Assumptions'!$D$12:$F$12,1,D299)*INDEX('W Assumptions'!$D$33:$F$33,1,D299)</f>
        <v>142226.90625</v>
      </c>
      <c r="J299" s="81" t="n">
        <f aca="false">H299*'W Sites'!$K$9/(1+'W Assumptions'!$D$39)*INDEX('W Assumptions'!$D$12:$F$12,1,D299)*INDEX('W Assumptions'!$D$33:$F$33,1,D299)</f>
        <v>15316.74375</v>
      </c>
      <c r="K299" s="81" t="n">
        <f aca="false">'W Sites'!$L$9*F299*IF(((YEAR(C299)-YEAR('W Sites'!$F$9))*12+MONTH(C299)-MONTH('W Sites'!$F$9))=0,'W Assumptions'!$D$62,IF(((YEAR(C299)-YEAR('W Sites'!$F$9))*12+MONTH(C299)-MONTH('W Sites'!$F$9))=1,'W Assumptions'!$D$63,1))*INDEX('W Assumptions'!$D$7:$F$7,1,D299)*INDEX('W Assumptions'!$D$32:$F$32,1,D299)</f>
        <v>17820</v>
      </c>
      <c r="L299" s="81" t="n">
        <f aca="false">SUM(I299:K299)</f>
        <v>175363.65</v>
      </c>
      <c r="M299" s="81" t="n">
        <f aca="false">'W Site Costs'!$I$9*F299*INDEX('W Assumptions'!$D$34:$F$34,1,D299)*INDEX('W Assumptions'!$D$22:$F$22,1,D299)</f>
        <v>41630.4</v>
      </c>
      <c r="N299" s="81" t="n">
        <f aca="false">'W Site Costs'!$J$9*F299*INDEX('W Assumptions'!$D$35:$F$35,1,D299)*INDEX('W Assumptions'!$D$22:$F$22,1,D299)</f>
        <v>23795.2</v>
      </c>
      <c r="O299" s="81" t="n">
        <f aca="false">L299*'W Site Costs'!$K$9</f>
        <v>0</v>
      </c>
      <c r="P299" s="81" t="n">
        <f aca="false">SUM('W Site Costs'!$L$9:$Q$9)*F299*INDEX('W Assumptions'!$D$35:$F$35,1,D299)*INDEX('W Assumptions'!$D$22:$F$22,1,D299)</f>
        <v>16764.8</v>
      </c>
      <c r="Q299" s="81" t="n">
        <f aca="false">L299*'W Site Costs'!$R$9*INDEX('W Assumptions'!$D$17:$F$17,1,D299)</f>
        <v>14029.092</v>
      </c>
      <c r="R299" s="112" t="n">
        <f aca="false">L299*'W Sites'!$M$9</f>
        <v>0</v>
      </c>
      <c r="S299" s="81" t="n">
        <f aca="false">SUM(M299:R299)</f>
        <v>96219.492</v>
      </c>
      <c r="T299" s="81" t="n">
        <f aca="false">L299-S299</f>
        <v>79144.158</v>
      </c>
      <c r="U299" s="81" t="n">
        <f aca="false">IF(C299='W Budget &amp; Owners'!$I$9,'W Budget &amp; Owners'!$F$9*'W Sites'!$G$9,0)</f>
        <v>0</v>
      </c>
      <c r="V299" s="81" t="n">
        <f aca="false">'W Sites'!$G$9*'W Budget &amp; Owners'!$E$9*INDEX('W Assumptions'!$D$27:$F$27,1,D299)*(IF(C299='W Budget &amp; Owners'!$I$9,'W Assumptions'!$D$65,0)+IF(C299=DATE(YEAR('W Sites'!$F$9),MONTH('W Sites'!$F$9),1),1-'W Assumptions'!$D$65,0))+'W Sites'!$G$9*'W Budget &amp; Owners'!$E$9*IF(C299=DATE(2027,9,1),'W Assumptions'!$D$67,IF(C299=DATE(2028,9,1),'W Assumptions'!$D$69,0))</f>
        <v>0</v>
      </c>
      <c r="W299" s="81" t="n">
        <f aca="false">IF(((YEAR(C299)-YEAR('W Sites'!$F$9))*12+MONTH(C299)-MONTH('W Sites'!$F$9))&lt;'W Budget &amp; Owners'!$H$9,'W Budget &amp; Owners'!$E$9/'W Budget &amp; Owners'!$H$9*F299,0)+IF(C299&gt;=DATE(2027,9,1),'W Budget &amp; Owners'!$E$9*'W Assumptions'!$D$67/'W Budget &amp; Owners'!$H$9*F299,0)+IF(C299&gt;=DATE(2028,9,1),'W Budget &amp; Owners'!$E$9*'W Assumptions'!$D$69/'W Budget &amp; Owners'!$H$9*F299,0)</f>
        <v>8750</v>
      </c>
      <c r="X299" s="81" t="n">
        <f aca="false">IF(C299='W Budget &amp; Owners'!$I$9,'W Budget &amp; Owners'!$G$9*'W Sites'!$G$9,0)</f>
        <v>0</v>
      </c>
      <c r="Y299" s="112" t="n">
        <f aca="false">IF(SUM($G$296:$G$305)=0,0,'W Fees &amp; KPI'!$Q$35*G299/SUM($G$296:$G$305))</f>
        <v>3214.27221165507</v>
      </c>
      <c r="Z299" s="119" t="n">
        <f aca="false">IF(SUM($G$296:$G$305)=0,0,SUM('W Fees &amp; KPI'!$J$35,'W Fees &amp; KPI'!$M$35)*G299/SUM($G$296:$G$305))</f>
        <v>5223.75</v>
      </c>
      <c r="AA299" s="117" t="n">
        <f aca="false">T299-U299-Z299-Y299</f>
        <v>70706.1357883449</v>
      </c>
      <c r="AB299" s="119" t="n">
        <f aca="false">IF('W Fees &amp; KPI'!$D$35=0,0,T299-U299-Z299)</f>
        <v>73920.408</v>
      </c>
    </row>
    <row r="300" customFormat="false" ht="21" hidden="false" customHeight="true" outlineLevel="0" collapsed="false">
      <c r="C300" s="144" t="n">
        <f aca="false">47150</f>
        <v>47150</v>
      </c>
      <c r="D300" s="81" t="n">
        <f aca="false">3</f>
        <v>3</v>
      </c>
      <c r="E300" s="81" t="str">
        <f aca="false">'W Sites'!C10</f>
        <v>S05</v>
      </c>
      <c r="F300" s="145" t="n">
        <f aca="false">'W Sites'!$G$10*MAX(0,EOMONTH(C300,0)-MAX(C300,'W Sites'!$F$10)+1)/DAY(EOMONTH(C300,0))</f>
        <v>1</v>
      </c>
      <c r="G300" s="145" t="n">
        <f aca="false">'W Sites'!$G$10*MAX(0,EOMONTH(C300,0)-MAX(C300,'W Sites'!$F$10,'W Assumptions'!$D$58)+1)/DAY(EOMONTH(C300,0))</f>
        <v>1</v>
      </c>
      <c r="H300" s="81" t="n">
        <f aca="false">'W Sites'!$H$10*F300*'W Sites'!$I$10*IF(((YEAR(C300)-YEAR('W Sites'!$F$10))*12+MONTH(C300)-MONTH('W Sites'!$F$10))=0,'W Assumptions'!$D$62,IF(((YEAR(C300)-YEAR('W Sites'!$F$10))*12+MONTH(C300)-MONTH('W Sites'!$F$10))=1,'W Assumptions'!$D$63,1))*INDEX('W Assumptions'!$D$7:$F$7,1,D300)*INDEX('W Assumptions'!$D$32:$F$32,1,D300)*INDEX('W Assumptions'!$D$80:$D$91,MONTH(C300),1)/AVERAGE('W Assumptions'!$D$80:$D$91)</f>
        <v>3031.84109589041</v>
      </c>
      <c r="I300" s="81" t="n">
        <f aca="false">H300*'W Sites'!$J$10/(1+'W Assumptions'!$D$39)*INDEX('W Assumptions'!$D$12:$F$12,1,D300)*INDEX('W Assumptions'!$D$33:$F$33,1,D300)</f>
        <v>181801.055835616</v>
      </c>
      <c r="J300" s="81" t="n">
        <f aca="false">H300*'W Sites'!$K$10/(1+'W Assumptions'!$D$39)*INDEX('W Assumptions'!$D$12:$F$12,1,D300)*INDEX('W Assumptions'!$D$33:$F$33,1,D300)</f>
        <v>22375.5145643836</v>
      </c>
      <c r="K300" s="81" t="n">
        <f aca="false">'W Sites'!$L$10*F300*IF(((YEAR(C300)-YEAR('W Sites'!$F$10))*12+MONTH(C300)-MONTH('W Sites'!$F$10))=0,'W Assumptions'!$D$62,IF(((YEAR(C300)-YEAR('W Sites'!$F$10))*12+MONTH(C300)-MONTH('W Sites'!$F$10))=1,'W Assumptions'!$D$63,1))*INDEX('W Assumptions'!$D$7:$F$7,1,D300)*INDEX('W Assumptions'!$D$32:$F$32,1,D300)</f>
        <v>21384</v>
      </c>
      <c r="L300" s="81" t="n">
        <f aca="false">SUM(I300:K300)</f>
        <v>225560.5704</v>
      </c>
      <c r="M300" s="81" t="n">
        <f aca="false">'W Site Costs'!$I$10*F300*INDEX('W Assumptions'!$D$34:$F$34,1,D300)*INDEX('W Assumptions'!$D$22:$F$22,1,D300)</f>
        <v>52948.665</v>
      </c>
      <c r="N300" s="81" t="n">
        <f aca="false">'W Site Costs'!$J$10*F300*INDEX('W Assumptions'!$D$35:$F$35,1,D300)*INDEX('W Assumptions'!$D$22:$F$22,1,D300)</f>
        <v>32448</v>
      </c>
      <c r="O300" s="81" t="n">
        <f aca="false">L300*'W Site Costs'!$K$10</f>
        <v>0</v>
      </c>
      <c r="P300" s="81" t="n">
        <f aca="false">SUM('W Site Costs'!$L$10:$Q$10)*F300*INDEX('W Assumptions'!$D$35:$F$35,1,D300)*INDEX('W Assumptions'!$D$22:$F$22,1,D300)</f>
        <v>20550.4</v>
      </c>
      <c r="Q300" s="81" t="n">
        <f aca="false">L300*'W Site Costs'!$R$10*INDEX('W Assumptions'!$D$17:$F$17,1,D300)</f>
        <v>18044.845632</v>
      </c>
      <c r="R300" s="112" t="n">
        <f aca="false">L300*'W Sites'!$M$10</f>
        <v>0</v>
      </c>
      <c r="S300" s="81" t="n">
        <f aca="false">SUM(M300:R300)</f>
        <v>123991.910632</v>
      </c>
      <c r="T300" s="81" t="n">
        <f aca="false">L300-S300</f>
        <v>101568.659768</v>
      </c>
      <c r="U300" s="81" t="n">
        <f aca="false">IF(C300='W Budget &amp; Owners'!$I$10,'W Budget &amp; Owners'!$F$10*'W Sites'!$G$10,0)</f>
        <v>0</v>
      </c>
      <c r="V300" s="81" t="n">
        <f aca="false">'W Sites'!$G$10*'W Budget &amp; Owners'!$E$10*INDEX('W Assumptions'!$D$27:$F$27,1,D300)*(IF(C300='W Budget &amp; Owners'!$I$10,'W Assumptions'!$D$65,0)+IF(C300=DATE(YEAR('W Sites'!$F$10),MONTH('W Sites'!$F$10),1),1-'W Assumptions'!$D$65,0))+'W Sites'!$G$10*'W Budget &amp; Owners'!$E$10*IF(C300=DATE(2027,9,1),'W Assumptions'!$D$67,IF(C300=DATE(2028,9,1),'W Assumptions'!$D$69,0))</f>
        <v>0</v>
      </c>
      <c r="W300" s="81" t="n">
        <f aca="false">IF(((YEAR(C300)-YEAR('W Sites'!$F$10))*12+MONTH(C300)-MONTH('W Sites'!$F$10))&lt;'W Budget &amp; Owners'!$H$10,'W Budget &amp; Owners'!$E$10/'W Budget &amp; Owners'!$H$10*F300,0)+IF(C300&gt;=DATE(2027,9,1),'W Budget &amp; Owners'!$E$10*'W Assumptions'!$D$67/'W Budget &amp; Owners'!$H$10*F300,0)+IF(C300&gt;=DATE(2028,9,1),'W Budget &amp; Owners'!$E$10*'W Assumptions'!$D$69/'W Budget &amp; Owners'!$H$10*F300,0)</f>
        <v>13125</v>
      </c>
      <c r="X300" s="81" t="n">
        <f aca="false">IF(C300='W Budget &amp; Owners'!$I$10,'W Budget &amp; Owners'!$G$10*'W Sites'!$G$10,0)</f>
        <v>0</v>
      </c>
      <c r="Y300" s="112" t="n">
        <f aca="false">IF(SUM($G$296:$G$305)=0,0,'W Fees &amp; KPI'!$Q$35*G300/SUM($G$296:$G$305))</f>
        <v>3214.27221165507</v>
      </c>
      <c r="Z300" s="119" t="n">
        <f aca="false">IF(SUM($G$296:$G$305)=0,0,SUM('W Fees &amp; KPI'!$J$35,'W Fees &amp; KPI'!$M$35)*G300/SUM($G$296:$G$305))</f>
        <v>5223.75</v>
      </c>
      <c r="AA300" s="117" t="n">
        <f aca="false">T300-U300-Z300-Y300</f>
        <v>93130.6375563449</v>
      </c>
      <c r="AB300" s="119" t="n">
        <f aca="false">IF('W Fees &amp; KPI'!$D$35=0,0,T300-U300-Z300)</f>
        <v>96344.909768</v>
      </c>
    </row>
    <row r="301" customFormat="false" ht="21" hidden="false" customHeight="true" outlineLevel="0" collapsed="false">
      <c r="C301" s="144" t="n">
        <f aca="false">47150</f>
        <v>47150</v>
      </c>
      <c r="D301" s="81" t="n">
        <f aca="false">3</f>
        <v>3</v>
      </c>
      <c r="E301" s="81" t="str">
        <f aca="false">'W Sites'!C11</f>
        <v>S06</v>
      </c>
      <c r="F301" s="145" t="n">
        <f aca="false">'W Sites'!$G$11*MAX(0,EOMONTH(C301,0)-MAX(C301,'W Sites'!$F$11)+1)/DAY(EOMONTH(C301,0))</f>
        <v>1</v>
      </c>
      <c r="G301" s="145" t="n">
        <f aca="false">'W Sites'!$G$11*MAX(0,EOMONTH(C301,0)-MAX(C301,'W Sites'!$F$11,'W Assumptions'!$D$58)+1)/DAY(EOMONTH(C301,0))</f>
        <v>1</v>
      </c>
      <c r="H301" s="81" t="n">
        <f aca="false">'W Sites'!$H$11*F301*'W Sites'!$I$11*IF(((YEAR(C301)-YEAR('W Sites'!$F$11))*12+MONTH(C301)-MONTH('W Sites'!$F$11))=0,'W Assumptions'!$D$62,IF(((YEAR(C301)-YEAR('W Sites'!$F$11))*12+MONTH(C301)-MONTH('W Sites'!$F$11))=1,'W Assumptions'!$D$63,1))*INDEX('W Assumptions'!$D$7:$F$7,1,D301)*INDEX('W Assumptions'!$D$32:$F$32,1,D301)*INDEX('W Assumptions'!$D$80:$D$91,MONTH(C301),1)/AVERAGE('W Assumptions'!$D$80:$D$91)</f>
        <v>926.64</v>
      </c>
      <c r="I301" s="81" t="n">
        <f aca="false">H301*'W Sites'!$J$11/(1+'W Assumptions'!$D$39)*INDEX('W Assumptions'!$D$12:$F$12,1,D301)*INDEX('W Assumptions'!$D$33:$F$33,1,D301)</f>
        <v>51290.7326608696</v>
      </c>
      <c r="J301" s="81" t="n">
        <f aca="false">H301*'W Sites'!$K$11/(1+'W Assumptions'!$D$39)*INDEX('W Assumptions'!$D$12:$F$12,1,D301)*INDEX('W Assumptions'!$D$33:$F$33,1,D301)</f>
        <v>2564.53663304348</v>
      </c>
      <c r="K301" s="81" t="n">
        <f aca="false">'W Sites'!$L$11*F301*IF(((YEAR(C301)-YEAR('W Sites'!$F$11))*12+MONTH(C301)-MONTH('W Sites'!$F$11))=0,'W Assumptions'!$D$62,IF(((YEAR(C301)-YEAR('W Sites'!$F$11))*12+MONTH(C301)-MONTH('W Sites'!$F$11))=1,'W Assumptions'!$D$63,1))*INDEX('W Assumptions'!$D$7:$F$7,1,D301)*INDEX('W Assumptions'!$D$32:$F$32,1,D301)</f>
        <v>23760</v>
      </c>
      <c r="L301" s="81" t="n">
        <f aca="false">SUM(I301:K301)</f>
        <v>77615.2692939131</v>
      </c>
      <c r="M301" s="81" t="n">
        <f aca="false">'W Site Costs'!$I$11*F301*INDEX('W Assumptions'!$D$34:$F$34,1,D301)*INDEX('W Assumptions'!$D$22:$F$22,1,D301)</f>
        <v>26279.19</v>
      </c>
      <c r="N301" s="81" t="n">
        <f aca="false">'W Site Costs'!$J$11*F301*INDEX('W Assumptions'!$D$35:$F$35,1,D301)*INDEX('W Assumptions'!$D$22:$F$22,1,D301)</f>
        <v>5408</v>
      </c>
      <c r="O301" s="81" t="n">
        <f aca="false">L301*'W Site Costs'!$K$11</f>
        <v>0</v>
      </c>
      <c r="P301" s="81" t="n">
        <f aca="false">SUM('W Site Costs'!$L$11:$Q$11)*F301*INDEX('W Assumptions'!$D$35:$F$35,1,D301)*INDEX('W Assumptions'!$D$22:$F$22,1,D301)</f>
        <v>8652.8</v>
      </c>
      <c r="Q301" s="81" t="n">
        <f aca="false">L301*'W Site Costs'!$R$11*INDEX('W Assumptions'!$D$17:$F$17,1,D301)</f>
        <v>7761.52692939131</v>
      </c>
      <c r="R301" s="112" t="n">
        <f aca="false">L301*'W Sites'!$M$11</f>
        <v>0</v>
      </c>
      <c r="S301" s="81" t="n">
        <f aca="false">SUM(M301:R301)</f>
        <v>48101.5169293913</v>
      </c>
      <c r="T301" s="81" t="n">
        <f aca="false">L301-S301</f>
        <v>29513.7523645217</v>
      </c>
      <c r="U301" s="81" t="n">
        <f aca="false">IF(C301='W Budget &amp; Owners'!$I$11,'W Budget &amp; Owners'!$F$11*'W Sites'!$G$11,0)</f>
        <v>0</v>
      </c>
      <c r="V301" s="81" t="n">
        <f aca="false">'W Sites'!$G$11*'W Budget &amp; Owners'!$E$11*INDEX('W Assumptions'!$D$27:$F$27,1,D301)*(IF(C301='W Budget &amp; Owners'!$I$11,'W Assumptions'!$D$65,0)+IF(C301=DATE(YEAR('W Sites'!$F$11),MONTH('W Sites'!$F$11),1),1-'W Assumptions'!$D$65,0))+'W Sites'!$G$11*'W Budget &amp; Owners'!$E$11*IF(C301=DATE(2027,9,1),'W Assumptions'!$D$67,IF(C301=DATE(2028,9,1),'W Assumptions'!$D$69,0))</f>
        <v>0</v>
      </c>
      <c r="W301" s="81" t="n">
        <f aca="false">IF(((YEAR(C301)-YEAR('W Sites'!$F$11))*12+MONTH(C301)-MONTH('W Sites'!$F$11))&lt;'W Budget &amp; Owners'!$H$11,'W Budget &amp; Owners'!$E$11/'W Budget &amp; Owners'!$H$11*F301,0)+IF(C301&gt;=DATE(2027,9,1),'W Budget &amp; Owners'!$E$11*'W Assumptions'!$D$67/'W Budget &amp; Owners'!$H$11*F301,0)+IF(C301&gt;=DATE(2028,9,1),'W Budget &amp; Owners'!$E$11*'W Assumptions'!$D$69/'W Budget &amp; Owners'!$H$11*F301,0)</f>
        <v>2625</v>
      </c>
      <c r="X301" s="81" t="n">
        <f aca="false">IF(C301='W Budget &amp; Owners'!$I$11,'W Budget &amp; Owners'!$G$11*'W Sites'!$G$11,0)</f>
        <v>0</v>
      </c>
      <c r="Y301" s="112" t="n">
        <f aca="false">IF(SUM($G$296:$G$305)=0,0,'W Fees &amp; KPI'!$Q$35*G301/SUM($G$296:$G$305))</f>
        <v>3214.27221165507</v>
      </c>
      <c r="Z301" s="119" t="n">
        <f aca="false">IF(SUM($G$296:$G$305)=0,0,SUM('W Fees &amp; KPI'!$J$35,'W Fees &amp; KPI'!$M$35)*G301/SUM($G$296:$G$305))</f>
        <v>5223.75</v>
      </c>
      <c r="AA301" s="117" t="n">
        <f aca="false">T301-U301-Z301-Y301</f>
        <v>21075.7301528667</v>
      </c>
      <c r="AB301" s="119" t="n">
        <f aca="false">IF('W Fees &amp; KPI'!$D$35=0,0,T301-U301-Z301)</f>
        <v>24290.0023645217</v>
      </c>
    </row>
    <row r="302" customFormat="false" ht="21" hidden="false" customHeight="true" outlineLevel="0" collapsed="false">
      <c r="C302" s="144" t="n">
        <f aca="false">47150</f>
        <v>47150</v>
      </c>
      <c r="D302" s="81" t="n">
        <f aca="false">3</f>
        <v>3</v>
      </c>
      <c r="E302" s="81" t="str">
        <f aca="false">'W Sites'!C12</f>
        <v>S07</v>
      </c>
      <c r="F302" s="145" t="n">
        <f aca="false">'W Sites'!$G$12*MAX(0,EOMONTH(C302,0)-MAX(C302,'W Sites'!$F$12)+1)/DAY(EOMONTH(C302,0))</f>
        <v>1</v>
      </c>
      <c r="G302" s="145" t="n">
        <f aca="false">'W Sites'!$G$12*MAX(0,EOMONTH(C302,0)-MAX(C302,'W Sites'!$F$12,'W Assumptions'!$D$58)+1)/DAY(EOMONTH(C302,0))</f>
        <v>1</v>
      </c>
      <c r="H302" s="81" t="n">
        <f aca="false">'W Sites'!$H$12*F302*'W Sites'!$I$12*IF(((YEAR(C302)-YEAR('W Sites'!$F$12))*12+MONTH(C302)-MONTH('W Sites'!$F$12))=0,'W Assumptions'!$D$62,IF(((YEAR(C302)-YEAR('W Sites'!$F$12))*12+MONTH(C302)-MONTH('W Sites'!$F$12))=1,'W Assumptions'!$D$63,1))*INDEX('W Assumptions'!$D$7:$F$7,1,D302)*INDEX('W Assumptions'!$D$32:$F$32,1,D302)*INDEX('W Assumptions'!$D$80:$D$91,MONTH(C302),1)/AVERAGE('W Assumptions'!$D$80:$D$91)</f>
        <v>1081.08</v>
      </c>
      <c r="I302" s="81" t="n">
        <f aca="false">H302*'W Sites'!$J$12/(1+'W Assumptions'!$D$39)*INDEX('W Assumptions'!$D$12:$F$12,1,D302)*INDEX('W Assumptions'!$D$33:$F$33,1,D302)</f>
        <v>59839.1881043478</v>
      </c>
      <c r="J302" s="81" t="n">
        <f aca="false">H302*'W Sites'!$K$12/(1+'W Assumptions'!$D$39)*INDEX('W Assumptions'!$D$12:$F$12,1,D302)*INDEX('W Assumptions'!$D$33:$F$33,1,D302)</f>
        <v>2991.95940521739</v>
      </c>
      <c r="K302" s="81" t="n">
        <f aca="false">'W Sites'!$L$12*F302*IF(((YEAR(C302)-YEAR('W Sites'!$F$12))*12+MONTH(C302)-MONTH('W Sites'!$F$12))=0,'W Assumptions'!$D$62,IF(((YEAR(C302)-YEAR('W Sites'!$F$12))*12+MONTH(C302)-MONTH('W Sites'!$F$12))=1,'W Assumptions'!$D$63,1))*INDEX('W Assumptions'!$D$7:$F$7,1,D302)*INDEX('W Assumptions'!$D$32:$F$32,1,D302)</f>
        <v>21384</v>
      </c>
      <c r="L302" s="81" t="n">
        <f aca="false">SUM(I302:K302)</f>
        <v>84215.1475095652</v>
      </c>
      <c r="M302" s="81" t="n">
        <f aca="false">'W Site Costs'!$I$12*F302*INDEX('W Assumptions'!$D$34:$F$34,1,D302)*INDEX('W Assumptions'!$D$22:$F$22,1,D302)</f>
        <v>26279.19</v>
      </c>
      <c r="N302" s="81" t="n">
        <f aca="false">'W Site Costs'!$J$12*F302*INDEX('W Assumptions'!$D$35:$F$35,1,D302)*INDEX('W Assumptions'!$D$22:$F$22,1,D302)</f>
        <v>8652.8</v>
      </c>
      <c r="O302" s="81" t="n">
        <f aca="false">L302*'W Site Costs'!$K$12</f>
        <v>0</v>
      </c>
      <c r="P302" s="81" t="n">
        <f aca="false">SUM('W Site Costs'!$L$12:$Q$12)*F302*INDEX('W Assumptions'!$D$35:$F$35,1,D302)*INDEX('W Assumptions'!$D$22:$F$22,1,D302)</f>
        <v>9193.6</v>
      </c>
      <c r="Q302" s="81" t="n">
        <f aca="false">L302*'W Site Costs'!$R$12*INDEX('W Assumptions'!$D$17:$F$17,1,D302)</f>
        <v>8421.51475095652</v>
      </c>
      <c r="R302" s="112" t="n">
        <f aca="false">L302*'W Sites'!$M$12</f>
        <v>0</v>
      </c>
      <c r="S302" s="81" t="n">
        <f aca="false">SUM(M302:R302)</f>
        <v>52547.1047509565</v>
      </c>
      <c r="T302" s="81" t="n">
        <f aca="false">L302-S302</f>
        <v>31668.0427586087</v>
      </c>
      <c r="U302" s="81" t="n">
        <f aca="false">IF(C302='W Budget &amp; Owners'!$I$12,'W Budget &amp; Owners'!$F$12*'W Sites'!$G$12,0)</f>
        <v>0</v>
      </c>
      <c r="V302" s="81" t="n">
        <f aca="false">'W Sites'!$G$12*'W Budget &amp; Owners'!$E$12*INDEX('W Assumptions'!$D$27:$F$27,1,D302)*(IF(C302='W Budget &amp; Owners'!$I$12,'W Assumptions'!$D$65,0)+IF(C302=DATE(YEAR('W Sites'!$F$12),MONTH('W Sites'!$F$12),1),1-'W Assumptions'!$D$65,0))+'W Sites'!$G$12*'W Budget &amp; Owners'!$E$12*IF(C302=DATE(2027,9,1),'W Assumptions'!$D$67,IF(C302=DATE(2028,9,1),'W Assumptions'!$D$69,0))</f>
        <v>0</v>
      </c>
      <c r="W302" s="81" t="n">
        <f aca="false">IF(((YEAR(C302)-YEAR('W Sites'!$F$12))*12+MONTH(C302)-MONTH('W Sites'!$F$12))&lt;'W Budget &amp; Owners'!$H$12,'W Budget &amp; Owners'!$E$12/'W Budget &amp; Owners'!$H$12*F302,0)+IF(C302&gt;=DATE(2027,9,1),'W Budget &amp; Owners'!$E$12*'W Assumptions'!$D$67/'W Budget &amp; Owners'!$H$12*F302,0)+IF(C302&gt;=DATE(2028,9,1),'W Budget &amp; Owners'!$E$12*'W Assumptions'!$D$69/'W Budget &amp; Owners'!$H$12*F302,0)</f>
        <v>7875</v>
      </c>
      <c r="X302" s="81" t="n">
        <f aca="false">IF(C302='W Budget &amp; Owners'!$I$12,'W Budget &amp; Owners'!$G$12*'W Sites'!$G$12,0)</f>
        <v>0</v>
      </c>
      <c r="Y302" s="112" t="n">
        <f aca="false">IF(SUM($G$296:$G$305)=0,0,'W Fees &amp; KPI'!$Q$35*G302/SUM($G$296:$G$305))</f>
        <v>3214.27221165507</v>
      </c>
      <c r="Z302" s="119" t="n">
        <f aca="false">IF(SUM($G$296:$G$305)=0,0,SUM('W Fees &amp; KPI'!$J$35,'W Fees &amp; KPI'!$M$35)*G302/SUM($G$296:$G$305))</f>
        <v>5223.75</v>
      </c>
      <c r="AA302" s="117" t="n">
        <f aca="false">T302-U302-Z302-Y302</f>
        <v>23230.0205469536</v>
      </c>
      <c r="AB302" s="119" t="n">
        <f aca="false">IF('W Fees &amp; KPI'!$D$35=0,0,T302-U302-Z302)</f>
        <v>26444.2927586087</v>
      </c>
    </row>
    <row r="303" customFormat="false" ht="21" hidden="false" customHeight="true" outlineLevel="0" collapsed="false">
      <c r="C303" s="144" t="n">
        <f aca="false">47150</f>
        <v>47150</v>
      </c>
      <c r="D303" s="81" t="n">
        <f aca="false">3</f>
        <v>3</v>
      </c>
      <c r="E303" s="81" t="str">
        <f aca="false">'W Sites'!C13</f>
        <v>S08</v>
      </c>
      <c r="F303" s="145" t="n">
        <f aca="false">'W Sites'!$G$13*MAX(0,EOMONTH(C303,0)-MAX(C303,'W Sites'!$F$13)+1)/DAY(EOMONTH(C303,0))</f>
        <v>1</v>
      </c>
      <c r="G303" s="145" t="n">
        <f aca="false">'W Sites'!$G$13*MAX(0,EOMONTH(C303,0)-MAX(C303,'W Sites'!$F$13,'W Assumptions'!$D$58)+1)/DAY(EOMONTH(C303,0))</f>
        <v>1</v>
      </c>
      <c r="H303" s="81" t="n">
        <f aca="false">'W Sites'!$H$13*F303*'W Sites'!$I$13*IF(((YEAR(C303)-YEAR('W Sites'!$F$13))*12+MONTH(C303)-MONTH('W Sites'!$F$13))=0,'W Assumptions'!$D$62,IF(((YEAR(C303)-YEAR('W Sites'!$F$13))*12+MONTH(C303)-MONTH('W Sites'!$F$13))=1,'W Assumptions'!$D$63,1))*INDEX('W Assumptions'!$D$7:$F$7,1,D303)*INDEX('W Assumptions'!$D$32:$F$32,1,D303)*INDEX('W Assumptions'!$D$80:$D$91,MONTH(C303),1)/AVERAGE('W Assumptions'!$D$80:$D$91)</f>
        <v>4633.2</v>
      </c>
      <c r="I303" s="81" t="n">
        <f aca="false">H303*'W Sites'!$J$13/(1+'W Assumptions'!$D$39)*INDEX('W Assumptions'!$D$12:$F$12,1,D303)*INDEX('W Assumptions'!$D$33:$F$33,1,D303)</f>
        <v>170969.108869565</v>
      </c>
      <c r="J303" s="81" t="n">
        <f aca="false">H303*'W Sites'!$K$13/(1+'W Assumptions'!$D$39)*INDEX('W Assumptions'!$D$12:$F$12,1,D303)*INDEX('W Assumptions'!$D$33:$F$33,1,D303)</f>
        <v>21371.1386086957</v>
      </c>
      <c r="K303" s="81" t="n">
        <f aca="false">'W Sites'!$L$13*F303*IF(((YEAR(C303)-YEAR('W Sites'!$F$13))*12+MONTH(C303)-MONTH('W Sites'!$F$13))=0,'W Assumptions'!$D$62,IF(((YEAR(C303)-YEAR('W Sites'!$F$13))*12+MONTH(C303)-MONTH('W Sites'!$F$13))=1,'W Assumptions'!$D$63,1))*INDEX('W Assumptions'!$D$7:$F$7,1,D303)*INDEX('W Assumptions'!$D$32:$F$32,1,D303)</f>
        <v>17820</v>
      </c>
      <c r="L303" s="81" t="n">
        <f aca="false">SUM(I303:K303)</f>
        <v>210160.247478261</v>
      </c>
      <c r="M303" s="81" t="n">
        <f aca="false">'W Site Costs'!$I$13*F303*INDEX('W Assumptions'!$D$34:$F$34,1,D303)*INDEX('W Assumptions'!$D$22:$F$22,1,D303)</f>
        <v>58802.94</v>
      </c>
      <c r="N303" s="81" t="n">
        <f aca="false">'W Site Costs'!$J$13*F303*INDEX('W Assumptions'!$D$35:$F$35,1,D303)*INDEX('W Assumptions'!$D$22:$F$22,1,D303)</f>
        <v>0</v>
      </c>
      <c r="O303" s="81" t="n">
        <f aca="false">L303*'W Site Costs'!$K$13</f>
        <v>21016.0247478261</v>
      </c>
      <c r="P303" s="81" t="n">
        <f aca="false">SUM('W Site Costs'!$L$13:$Q$13)*F303*INDEX('W Assumptions'!$D$35:$F$35,1,D303)*INDEX('W Assumptions'!$D$22:$F$22,1,D303)</f>
        <v>27580.8</v>
      </c>
      <c r="Q303" s="81" t="n">
        <f aca="false">L303*'W Site Costs'!$R$13*INDEX('W Assumptions'!$D$17:$F$17,1,D303)</f>
        <v>16812.8197982609</v>
      </c>
      <c r="R303" s="112" t="n">
        <f aca="false">L303*'W Sites'!$M$13</f>
        <v>0</v>
      </c>
      <c r="S303" s="81" t="n">
        <f aca="false">SUM(M303:R303)</f>
        <v>124212.584546087</v>
      </c>
      <c r="T303" s="81" t="n">
        <f aca="false">L303-S303</f>
        <v>85947.6629321739</v>
      </c>
      <c r="U303" s="81" t="n">
        <f aca="false">IF(C303='W Budget &amp; Owners'!$I$13,'W Budget &amp; Owners'!$F$13*'W Sites'!$G$13,0)</f>
        <v>0</v>
      </c>
      <c r="V303" s="81" t="n">
        <f aca="false">'W Sites'!$G$13*'W Budget &amp; Owners'!$E$13*INDEX('W Assumptions'!$D$27:$F$27,1,D303)*(IF(C303='W Budget &amp; Owners'!$I$13,'W Assumptions'!$D$65,0)+IF(C303=DATE(YEAR('W Sites'!$F$13),MONTH('W Sites'!$F$13),1),1-'W Assumptions'!$D$65,0))+'W Sites'!$G$13*'W Budget &amp; Owners'!$E$13*IF(C303=DATE(2027,9,1),'W Assumptions'!$D$67,IF(C303=DATE(2028,9,1),'W Assumptions'!$D$69,0))</f>
        <v>0</v>
      </c>
      <c r="W303" s="81" t="n">
        <f aca="false">IF(((YEAR(C303)-YEAR('W Sites'!$F$13))*12+MONTH(C303)-MONTH('W Sites'!$F$13))&lt;'W Budget &amp; Owners'!$H$13,'W Budget &amp; Owners'!$E$13/'W Budget &amp; Owners'!$H$13*F303,0)+IF(C303&gt;=DATE(2027,9,1),'W Budget &amp; Owners'!$E$13*'W Assumptions'!$D$67/'W Budget &amp; Owners'!$H$13*F303,0)+IF(C303&gt;=DATE(2028,9,1),'W Budget &amp; Owners'!$E$13*'W Assumptions'!$D$69/'W Budget &amp; Owners'!$H$13*F303,0)</f>
        <v>21000</v>
      </c>
      <c r="X303" s="81" t="n">
        <f aca="false">IF(C303='W Budget &amp; Owners'!$I$13,'W Budget &amp; Owners'!$G$13*'W Sites'!$G$13,0)</f>
        <v>0</v>
      </c>
      <c r="Y303" s="112" t="n">
        <f aca="false">IF(SUM($G$296:$G$305)=0,0,'W Fees &amp; KPI'!$Q$35*G303/SUM($G$296:$G$305))</f>
        <v>3214.27221165507</v>
      </c>
      <c r="Z303" s="119" t="n">
        <f aca="false">IF(SUM($G$296:$G$305)=0,0,SUM('W Fees &amp; KPI'!$J$35,'W Fees &amp; KPI'!$M$35)*G303/SUM($G$296:$G$305))</f>
        <v>5223.75</v>
      </c>
      <c r="AA303" s="117" t="n">
        <f aca="false">T303-U303-Z303-Y303</f>
        <v>77509.6407205189</v>
      </c>
      <c r="AB303" s="119" t="n">
        <f aca="false">IF('W Fees &amp; KPI'!$D$35=0,0,T303-U303-Z303)</f>
        <v>80723.9129321739</v>
      </c>
    </row>
    <row r="304" customFormat="false" ht="21" hidden="false" customHeight="true" outlineLevel="0" collapsed="false">
      <c r="C304" s="144" t="n">
        <f aca="false">47150</f>
        <v>47150</v>
      </c>
      <c r="D304" s="81" t="n">
        <f aca="false">3</f>
        <v>3</v>
      </c>
      <c r="E304" s="81" t="str">
        <f aca="false">'W Sites'!C14</f>
        <v>S09</v>
      </c>
      <c r="F304" s="145" t="n">
        <f aca="false">'W Sites'!$G$14*MAX(0,EOMONTH(C304,0)-MAX(C304,'W Sites'!$F$14)+1)/DAY(EOMONTH(C304,0))</f>
        <v>0</v>
      </c>
      <c r="G304" s="145" t="n">
        <f aca="false">'W Sites'!$G$14*MAX(0,EOMONTH(C304,0)-MAX(C304,'W Sites'!$F$14,'W Assumptions'!$D$58)+1)/DAY(EOMONTH(C304,0))</f>
        <v>0</v>
      </c>
      <c r="H304" s="81" t="n">
        <f aca="false">'W Sites'!$H$14*F304*'W Sites'!$I$14*IF(((YEAR(C304)-YEAR('W Sites'!$F$14))*12+MONTH(C304)-MONTH('W Sites'!$F$14))=0,'W Assumptions'!$D$62,IF(((YEAR(C304)-YEAR('W Sites'!$F$14))*12+MONTH(C304)-MONTH('W Sites'!$F$14))=1,'W Assumptions'!$D$63,1))*INDEX('W Assumptions'!$D$7:$F$7,1,D304)*INDEX('W Assumptions'!$D$32:$F$32,1,D304)*INDEX('W Assumptions'!$D$80:$D$91,MONTH(C304),1)/AVERAGE('W Assumptions'!$D$80:$D$91)</f>
        <v>0</v>
      </c>
      <c r="I304" s="81" t="n">
        <f aca="false">H304*'W Sites'!$J$14/(1+'W Assumptions'!$D$39)*INDEX('W Assumptions'!$D$12:$F$12,1,D304)*INDEX('W Assumptions'!$D$33:$F$33,1,D304)</f>
        <v>0</v>
      </c>
      <c r="J304" s="81" t="n">
        <f aca="false">H304*'W Sites'!$K$14/(1+'W Assumptions'!$D$39)*INDEX('W Assumptions'!$D$12:$F$12,1,D304)*INDEX('W Assumptions'!$D$33:$F$33,1,D304)</f>
        <v>0</v>
      </c>
      <c r="K304" s="81" t="n">
        <f aca="false">'W Sites'!$L$14*F304*IF(((YEAR(C304)-YEAR('W Sites'!$F$14))*12+MONTH(C304)-MONTH('W Sites'!$F$14))=0,'W Assumptions'!$D$62,IF(((YEAR(C304)-YEAR('W Sites'!$F$14))*12+MONTH(C304)-MONTH('W Sites'!$F$14))=1,'W Assumptions'!$D$63,1))*INDEX('W Assumptions'!$D$7:$F$7,1,D304)*INDEX('W Assumptions'!$D$32:$F$32,1,D304)</f>
        <v>0</v>
      </c>
      <c r="L304" s="81" t="n">
        <f aca="false">SUM(I304:K304)</f>
        <v>0</v>
      </c>
      <c r="M304" s="81" t="n">
        <f aca="false">'W Site Costs'!$I$14*F304*INDEX('W Assumptions'!$D$34:$F$34,1,D304)*INDEX('W Assumptions'!$D$22:$F$22,1,D304)</f>
        <v>0</v>
      </c>
      <c r="N304" s="81" t="n">
        <f aca="false">'W Site Costs'!$J$14*F304*INDEX('W Assumptions'!$D$35:$F$35,1,D304)*INDEX('W Assumptions'!$D$22:$F$22,1,D304)</f>
        <v>0</v>
      </c>
      <c r="O304" s="81" t="n">
        <f aca="false">L304*'W Site Costs'!$K$14</f>
        <v>0</v>
      </c>
      <c r="P304" s="81" t="n">
        <f aca="false">SUM('W Site Costs'!$L$14:$Q$14)*F304*INDEX('W Assumptions'!$D$35:$F$35,1,D304)*INDEX('W Assumptions'!$D$22:$F$22,1,D304)</f>
        <v>0</v>
      </c>
      <c r="Q304" s="81" t="n">
        <f aca="false">L304*'W Site Costs'!$R$14*INDEX('W Assumptions'!$D$17:$F$17,1,D304)</f>
        <v>0</v>
      </c>
      <c r="R304" s="112" t="n">
        <f aca="false">L304*'W Sites'!$M$14</f>
        <v>0</v>
      </c>
      <c r="S304" s="81" t="n">
        <f aca="false">SUM(M304:R304)</f>
        <v>0</v>
      </c>
      <c r="T304" s="81" t="n">
        <f aca="false">L304-S304</f>
        <v>0</v>
      </c>
      <c r="U304" s="81" t="n">
        <f aca="false">IF(C304='W Budget &amp; Owners'!$I$14,'W Budget &amp; Owners'!$F$14*'W Sites'!$G$14,0)</f>
        <v>0</v>
      </c>
      <c r="V304" s="81" t="n">
        <f aca="false">'W Sites'!$G$14*'W Budget &amp; Owners'!$E$14*INDEX('W Assumptions'!$D$27:$F$27,1,D304)*(IF(C304='W Budget &amp; Owners'!$I$14,'W Assumptions'!$D$65,0)+IF(C304=DATE(YEAR('W Sites'!$F$14),MONTH('W Sites'!$F$14),1),1-'W Assumptions'!$D$65,0))+'W Sites'!$G$14*'W Budget &amp; Owners'!$E$14*IF(C304=DATE(2027,9,1),'W Assumptions'!$D$67,IF(C304=DATE(2028,9,1),'W Assumptions'!$D$69,0))</f>
        <v>0</v>
      </c>
      <c r="W304" s="81" t="n">
        <f aca="false">IF(((YEAR(C304)-YEAR('W Sites'!$F$14))*12+MONTH(C304)-MONTH('W Sites'!$F$14))&lt;'W Budget &amp; Owners'!$H$14,'W Budget &amp; Owners'!$E$14/'W Budget &amp; Owners'!$H$14*F304,0)+IF(C304&gt;=DATE(2027,9,1),'W Budget &amp; Owners'!$E$14*'W Assumptions'!$D$67/'W Budget &amp; Owners'!$H$14*F304,0)+IF(C304&gt;=DATE(2028,9,1),'W Budget &amp; Owners'!$E$14*'W Assumptions'!$D$69/'W Budget &amp; Owners'!$H$14*F304,0)</f>
        <v>0</v>
      </c>
      <c r="X304" s="81" t="n">
        <f aca="false">IF(C304='W Budget &amp; Owners'!$I$14,'W Budget &amp; Owners'!$G$14*'W Sites'!$G$14,0)</f>
        <v>0</v>
      </c>
      <c r="Y304" s="112" t="n">
        <f aca="false">IF(SUM($G$296:$G$305)=0,0,'W Fees &amp; KPI'!$Q$35*G304/SUM($G$296:$G$305))</f>
        <v>0</v>
      </c>
      <c r="Z304" s="119" t="n">
        <f aca="false">IF(SUM($G$296:$G$305)=0,0,SUM('W Fees &amp; KPI'!$J$35,'W Fees &amp; KPI'!$M$35)*G304/SUM($G$296:$G$305))</f>
        <v>0</v>
      </c>
      <c r="AA304" s="117" t="n">
        <f aca="false">T304-U304-Z304-Y304</f>
        <v>0</v>
      </c>
      <c r="AB304" s="119" t="n">
        <f aca="false">IF('W Fees &amp; KPI'!$D$35=0,0,T304-U304-Z304)</f>
        <v>0</v>
      </c>
    </row>
    <row r="305" customFormat="false" ht="21" hidden="false" customHeight="true" outlineLevel="0" collapsed="false">
      <c r="C305" s="144" t="n">
        <f aca="false">47150</f>
        <v>47150</v>
      </c>
      <c r="D305" s="81" t="n">
        <f aca="false">3</f>
        <v>3</v>
      </c>
      <c r="E305" s="81" t="str">
        <f aca="false">'W Sites'!C15</f>
        <v>S10</v>
      </c>
      <c r="F305" s="145" t="n">
        <f aca="false">'W Sites'!$G$15*MAX(0,EOMONTH(C305,0)-MAX(C305,'W Sites'!$F$15)+1)/DAY(EOMONTH(C305,0))</f>
        <v>0</v>
      </c>
      <c r="G305" s="145" t="n">
        <f aca="false">'W Sites'!$G$15*MAX(0,EOMONTH(C305,0)-MAX(C305,'W Sites'!$F$15,'W Assumptions'!$D$58)+1)/DAY(EOMONTH(C305,0))</f>
        <v>0</v>
      </c>
      <c r="H305" s="81" t="n">
        <f aca="false">'W Sites'!$H$15*F305*'W Sites'!$I$15*IF(((YEAR(C305)-YEAR('W Sites'!$F$15))*12+MONTH(C305)-MONTH('W Sites'!$F$15))=0,'W Assumptions'!$D$62,IF(((YEAR(C305)-YEAR('W Sites'!$F$15))*12+MONTH(C305)-MONTH('W Sites'!$F$15))=1,'W Assumptions'!$D$63,1))*INDEX('W Assumptions'!$D$7:$F$7,1,D305)*INDEX('W Assumptions'!$D$32:$F$32,1,D305)*INDEX('W Assumptions'!$D$80:$D$91,MONTH(C305),1)/AVERAGE('W Assumptions'!$D$80:$D$91)</f>
        <v>0</v>
      </c>
      <c r="I305" s="81" t="n">
        <f aca="false">H305*'W Sites'!$J$15/(1+'W Assumptions'!$D$39)*INDEX('W Assumptions'!$D$12:$F$12,1,D305)*INDEX('W Assumptions'!$D$33:$F$33,1,D305)</f>
        <v>0</v>
      </c>
      <c r="J305" s="81" t="n">
        <f aca="false">H305*'W Sites'!$K$15/(1+'W Assumptions'!$D$39)*INDEX('W Assumptions'!$D$12:$F$12,1,D305)*INDEX('W Assumptions'!$D$33:$F$33,1,D305)</f>
        <v>0</v>
      </c>
      <c r="K305" s="81" t="n">
        <f aca="false">'W Sites'!$L$15*F305*IF(((YEAR(C305)-YEAR('W Sites'!$F$15))*12+MONTH(C305)-MONTH('W Sites'!$F$15))=0,'W Assumptions'!$D$62,IF(((YEAR(C305)-YEAR('W Sites'!$F$15))*12+MONTH(C305)-MONTH('W Sites'!$F$15))=1,'W Assumptions'!$D$63,1))*INDEX('W Assumptions'!$D$7:$F$7,1,D305)*INDEX('W Assumptions'!$D$32:$F$32,1,D305)</f>
        <v>0</v>
      </c>
      <c r="L305" s="81" t="n">
        <f aca="false">SUM(I305:K305)</f>
        <v>0</v>
      </c>
      <c r="M305" s="81" t="n">
        <f aca="false">'W Site Costs'!$I$15*F305*INDEX('W Assumptions'!$D$34:$F$34,1,D305)*INDEX('W Assumptions'!$D$22:$F$22,1,D305)</f>
        <v>0</v>
      </c>
      <c r="N305" s="81" t="n">
        <f aca="false">'W Site Costs'!$J$15*F305*INDEX('W Assumptions'!$D$35:$F$35,1,D305)*INDEX('W Assumptions'!$D$22:$F$22,1,D305)</f>
        <v>0</v>
      </c>
      <c r="O305" s="81" t="n">
        <f aca="false">L305*'W Site Costs'!$K$15</f>
        <v>0</v>
      </c>
      <c r="P305" s="81" t="n">
        <f aca="false">SUM('W Site Costs'!$L$15:$Q$15)*F305*INDEX('W Assumptions'!$D$35:$F$35,1,D305)*INDEX('W Assumptions'!$D$22:$F$22,1,D305)</f>
        <v>0</v>
      </c>
      <c r="Q305" s="81" t="n">
        <f aca="false">L305*'W Site Costs'!$R$15*INDEX('W Assumptions'!$D$17:$F$17,1,D305)</f>
        <v>0</v>
      </c>
      <c r="R305" s="112" t="n">
        <f aca="false">L305*'W Sites'!$M$15</f>
        <v>0</v>
      </c>
      <c r="S305" s="81" t="n">
        <f aca="false">SUM(M305:R305)</f>
        <v>0</v>
      </c>
      <c r="T305" s="81" t="n">
        <f aca="false">L305-S305</f>
        <v>0</v>
      </c>
      <c r="U305" s="81" t="n">
        <f aca="false">IF(C305='W Budget &amp; Owners'!$I$15,'W Budget &amp; Owners'!$F$15*'W Sites'!$G$15,0)</f>
        <v>0</v>
      </c>
      <c r="V305" s="81" t="n">
        <f aca="false">'W Sites'!$G$15*'W Budget &amp; Owners'!$E$15*INDEX('W Assumptions'!$D$27:$F$27,1,D305)*(IF(C305='W Budget &amp; Owners'!$I$15,'W Assumptions'!$D$65,0)+IF(C305=DATE(YEAR('W Sites'!$F$15),MONTH('W Sites'!$F$15),1),1-'W Assumptions'!$D$65,0))+'W Sites'!$G$15*'W Budget &amp; Owners'!$E$15*IF(C305=DATE(2027,9,1),'W Assumptions'!$D$67,IF(C305=DATE(2028,9,1),'W Assumptions'!$D$69,0))</f>
        <v>0</v>
      </c>
      <c r="W305" s="81" t="n">
        <f aca="false">IF(((YEAR(C305)-YEAR('W Sites'!$F$15))*12+MONTH(C305)-MONTH('W Sites'!$F$15))&lt;'W Budget &amp; Owners'!$H$15,'W Budget &amp; Owners'!$E$15/'W Budget &amp; Owners'!$H$15*F305,0)+IF(C305&gt;=DATE(2027,9,1),'W Budget &amp; Owners'!$E$15*'W Assumptions'!$D$67/'W Budget &amp; Owners'!$H$15*F305,0)+IF(C305&gt;=DATE(2028,9,1),'W Budget &amp; Owners'!$E$15*'W Assumptions'!$D$69/'W Budget &amp; Owners'!$H$15*F305,0)</f>
        <v>0</v>
      </c>
      <c r="X305" s="81" t="n">
        <f aca="false">IF(C305='W Budget &amp; Owners'!$I$15,'W Budget &amp; Owners'!$G$15*'W Sites'!$G$15,0)</f>
        <v>0</v>
      </c>
      <c r="Y305" s="112" t="n">
        <f aca="false">IF(SUM($G$296:$G$305)=0,0,'W Fees &amp; KPI'!$Q$35*G305/SUM($G$296:$G$305))</f>
        <v>0</v>
      </c>
      <c r="Z305" s="119" t="n">
        <f aca="false">IF(SUM($G$296:$G$305)=0,0,SUM('W Fees &amp; KPI'!$J$35,'W Fees &amp; KPI'!$M$35)*G305/SUM($G$296:$G$305))</f>
        <v>0</v>
      </c>
      <c r="AA305" s="117" t="n">
        <f aca="false">T305-U305-Z305-Y305</f>
        <v>0</v>
      </c>
      <c r="AB305" s="119" t="n">
        <f aca="false">IF('W Fees &amp; KPI'!$D$35=0,0,T305-U305-Z305)</f>
        <v>0</v>
      </c>
    </row>
    <row r="306" customFormat="false" ht="21" hidden="false" customHeight="true" outlineLevel="0" collapsed="false">
      <c r="C306" s="144" t="n">
        <f aca="false">47178</f>
        <v>47178</v>
      </c>
      <c r="D306" s="81" t="n">
        <f aca="false">3</f>
        <v>3</v>
      </c>
      <c r="E306" s="81" t="str">
        <f aca="false">'W Sites'!C6</f>
        <v>S01</v>
      </c>
      <c r="F306" s="145" t="n">
        <f aca="false">'W Sites'!$G$6*MAX(0,EOMONTH(C306,0)-MAX(C306,'W Sites'!$F$6)+1)/DAY(EOMONTH(C306,0))</f>
        <v>1</v>
      </c>
      <c r="G306" s="145" t="n">
        <f aca="false">'W Sites'!$G$6*MAX(0,EOMONTH(C306,0)-MAX(C306,'W Sites'!$F$6,'W Assumptions'!$D$58)+1)/DAY(EOMONTH(C306,0))</f>
        <v>1</v>
      </c>
      <c r="H306" s="81" t="n">
        <f aca="false">'W Sites'!$D$45*INDEX('W Sites'!$E$65:$E$76,MONTH(C306),1)/SUM('W Sites'!$E$65:$E$76)*F306*(1+'W Sites'!$D$56)^(D306-1)*INDEX('W Assumptions'!$D$7:$F$7,1,D306)</f>
        <v>6584.296</v>
      </c>
      <c r="I306" s="81" t="n">
        <f aca="false">H306*'W Sites'!$D$46/(1+'W Sites'!$D$54*'W Assumptions'!$D$39)*INDEX('W Assumptions'!$D$12:$F$12,1,D306)</f>
        <v>362136.28</v>
      </c>
      <c r="J306" s="81" t="n">
        <f aca="false">H306*SUM('W Sites'!$D$47:$D$49)/(1+'W Sites'!$D$54*'W Assumptions'!$D$39)*INDEX('W Assumptions'!$D$12:$F$12,1,D306)</f>
        <v>197528.88</v>
      </c>
      <c r="K306" s="81" t="n">
        <f aca="false">SUM('W Sites'!$D$50:$D$52)/12*F306*(1+'W Sites'!$D$56)^(D306-1)*INDEX('W Assumptions'!$D$7:$F$7,1,D306)*INDEX('W Assumptions'!$D$12:$F$12,1,D306)/(1+'W Sites'!$D$54*'W Assumptions'!$D$39)</f>
        <v>37453.3333333333</v>
      </c>
      <c r="L306" s="81" t="n">
        <f aca="false">SUM(I306:K306)</f>
        <v>597118.493333334</v>
      </c>
      <c r="M306" s="81" t="n">
        <f aca="false">('W Site Costs'!$I$6+INDEX('W Sites'!$F$65:$F$76,MONTH(C306),1)*'W Site Costs'!$V$6)*F306*(1+'W Sites'!$D$58)^(D306-1)*INDEX('W Assumptions'!$D$22:$F$22,1,D306)</f>
        <v>176300.8</v>
      </c>
      <c r="N306" s="81" t="n">
        <f aca="false">'W Site Costs'!$J$6*F306*INDEX('W Assumptions'!$D$35:$F$35,1,D306)*INDEX('W Assumptions'!$D$22:$F$22,1,D306)</f>
        <v>16224</v>
      </c>
      <c r="O306" s="81" t="n">
        <f aca="false">L306*'W Site Costs'!$K$6</f>
        <v>0</v>
      </c>
      <c r="P306" s="81" t="n">
        <f aca="false">(SUM('W Site Costs'!$L$6:$Q$6)+INDEX('W Sites'!$F$65:$F$76,MONTH(C306),1)*'W Site Costs'!$W$6)*F306*(1+'W Sites'!$D$58)^(D306-1)*INDEX('W Assumptions'!$D$22:$F$22,1,D306)</f>
        <v>115731.2</v>
      </c>
      <c r="Q306" s="81" t="n">
        <f aca="false">('W Site Costs'!$X$6+INDEX('W Sites'!$F$65:$F$76,MONTH(C306),1)*'W Site Costs'!$Y$6)*F306*(1+'W Sites'!$D$58)^(D306-1)*INDEX('W Assumptions'!$D$17:$F$17,1,D306)</f>
        <v>27040</v>
      </c>
      <c r="R306" s="112" t="n">
        <f aca="false">L306*'W Sites'!$M$6</f>
        <v>0</v>
      </c>
      <c r="S306" s="81" t="n">
        <f aca="false">SUM(M306:R306)</f>
        <v>335296</v>
      </c>
      <c r="T306" s="81" t="n">
        <f aca="false">L306-S306</f>
        <v>261822.493333334</v>
      </c>
      <c r="U306" s="81" t="n">
        <f aca="false">IF(C306='W Budget &amp; Owners'!$I$6,'W Budget &amp; Owners'!$F$6*'W Sites'!$G$6,0)</f>
        <v>0</v>
      </c>
      <c r="V306" s="81" t="n">
        <f aca="false">'W Sites'!$G$6*'W Budget &amp; Owners'!$E$6*INDEX('W Assumptions'!$D$27:$F$27,1,D306)*(IF(C306='W Budget &amp; Owners'!$I$6,'W Assumptions'!$D$65,0)+IF(C306=DATE(YEAR('W Sites'!$F$6),MONTH('W Sites'!$F$6),1),1-'W Assumptions'!$D$65,0))+'W Sites'!$G$6*'W Budget &amp; Owners'!$E$6*IF(C306=DATE(2027,9,1),'W Assumptions'!$D$67,IF(C306=DATE(2028,9,1),'W Assumptions'!$D$69,0))</f>
        <v>0</v>
      </c>
      <c r="W306" s="81" t="n">
        <f aca="false">IF(((YEAR(C306)-YEAR('W Sites'!$F$6))*12+MONTH(C306)-MONTH('W Sites'!$F$6))&lt;'W Budget &amp; Owners'!$H$6,'W Budget &amp; Owners'!$E$6/'W Budget &amp; Owners'!$H$6*F306,0)+IF(C306&gt;=DATE(2027,9,1),'W Budget &amp; Owners'!$E$6*'W Assumptions'!$D$67/'W Budget &amp; Owners'!$H$6*F306,0)+IF(C306&gt;=DATE(2028,9,1),'W Budget &amp; Owners'!$E$6*'W Assumptions'!$D$69/'W Budget &amp; Owners'!$H$6*F306,0)</f>
        <v>6125</v>
      </c>
      <c r="X306" s="81" t="n">
        <f aca="false">IF(C306='W Budget &amp; Owners'!$I$6,'W Budget &amp; Owners'!$G$6*'W Sites'!$G$6,0)</f>
        <v>0</v>
      </c>
      <c r="Y306" s="112" t="n">
        <f aca="false">IF(SUM($G$306:$G$315)=0,0,'W Fees &amp; KPI'!$Q$36*G306/SUM($G$306:$G$315))</f>
        <v>4870.23362136225</v>
      </c>
      <c r="Z306" s="119" t="n">
        <f aca="false">IF(SUM($G$306:$G$315)=0,0,SUM('W Fees &amp; KPI'!$J$36,'W Fees &amp; KPI'!$M$36)*G306/SUM($G$306:$G$315))</f>
        <v>5223.75</v>
      </c>
      <c r="AA306" s="117" t="n">
        <f aca="false">T306-U306-Z306-Y306</f>
        <v>251728.509711971</v>
      </c>
      <c r="AB306" s="119" t="n">
        <f aca="false">IF('W Fees &amp; KPI'!$D$36=0,0,T306-U306-Z306)</f>
        <v>256598.743333334</v>
      </c>
    </row>
    <row r="307" customFormat="false" ht="21" hidden="false" customHeight="true" outlineLevel="0" collapsed="false">
      <c r="C307" s="144" t="n">
        <f aca="false">47178</f>
        <v>47178</v>
      </c>
      <c r="D307" s="81" t="n">
        <f aca="false">3</f>
        <v>3</v>
      </c>
      <c r="E307" s="81" t="str">
        <f aca="false">'W Sites'!C7</f>
        <v>S02</v>
      </c>
      <c r="F307" s="145" t="n">
        <f aca="false">'W Sites'!$G$7*MAX(0,EOMONTH(C307,0)-MAX(C307,'W Sites'!$F$7)+1)/DAY(EOMONTH(C307,0))</f>
        <v>1</v>
      </c>
      <c r="G307" s="145" t="n">
        <f aca="false">'W Sites'!$G$7*MAX(0,EOMONTH(C307,0)-MAX(C307,'W Sites'!$F$7,'W Assumptions'!$D$58)+1)/DAY(EOMONTH(C307,0))</f>
        <v>1</v>
      </c>
      <c r="H307" s="81" t="n">
        <f aca="false">'W Sites'!$H$7*F307*'W Sites'!$I$7*IF(((YEAR(C307)-YEAR('W Sites'!$F$7))*12+MONTH(C307)-MONTH('W Sites'!$F$7))=0,'W Assumptions'!$D$62,IF(((YEAR(C307)-YEAR('W Sites'!$F$7))*12+MONTH(C307)-MONTH('W Sites'!$F$7))=1,'W Assumptions'!$D$63,1))*INDEX('W Assumptions'!$D$7:$F$7,1,D307)*INDEX('W Assumptions'!$D$32:$F$32,1,D307)*INDEX('W Assumptions'!$D$80:$D$91,MONTH(C307),1)/AVERAGE('W Assumptions'!$D$80:$D$91)</f>
        <v>2744.28</v>
      </c>
      <c r="I307" s="81" t="n">
        <f aca="false">H307*'W Sites'!$J$7/(1+'W Assumptions'!$D$39)*INDEX('W Assumptions'!$D$12:$F$12,1,D307)*INDEX('W Assumptions'!$D$33:$F$33,1,D307)</f>
        <v>88608.0285391304</v>
      </c>
      <c r="J307" s="81" t="n">
        <f aca="false">H307*'W Sites'!$K$7/(1+'W Assumptions'!$D$39)*INDEX('W Assumptions'!$D$12:$F$12,1,D307)*INDEX('W Assumptions'!$D$33:$F$33,1,D307)</f>
        <v>7594.97387478261</v>
      </c>
      <c r="K307" s="81" t="n">
        <f aca="false">'W Sites'!$L$7*F307*IF(((YEAR(C307)-YEAR('W Sites'!$F$7))*12+MONTH(C307)-MONTH('W Sites'!$F$7))=0,'W Assumptions'!$D$62,IF(((YEAR(C307)-YEAR('W Sites'!$F$7))*12+MONTH(C307)-MONTH('W Sites'!$F$7))=1,'W Assumptions'!$D$63,1))*INDEX('W Assumptions'!$D$7:$F$7,1,D307)*INDEX('W Assumptions'!$D$32:$F$32,1,D307)</f>
        <v>5940</v>
      </c>
      <c r="L307" s="81" t="n">
        <f aca="false">SUM(I307:K307)</f>
        <v>102143.002413913</v>
      </c>
      <c r="M307" s="81" t="n">
        <f aca="false">'W Site Costs'!$I$7*F307*INDEX('W Assumptions'!$D$34:$F$34,1,D307)*INDEX('W Assumptions'!$D$22:$F$22,1,D307)</f>
        <v>35776.125</v>
      </c>
      <c r="N307" s="81" t="n">
        <f aca="false">'W Site Costs'!$J$7*F307*INDEX('W Assumptions'!$D$35:$F$35,1,D307)*INDEX('W Assumptions'!$D$22:$F$22,1,D307)</f>
        <v>0</v>
      </c>
      <c r="O307" s="81" t="n">
        <f aca="false">L307*'W Site Costs'!$K$7</f>
        <v>15321.450362087</v>
      </c>
      <c r="P307" s="81" t="n">
        <f aca="false">SUM('W Site Costs'!$L$7:$Q$7)*F307*INDEX('W Assumptions'!$D$35:$F$35,1,D307)*INDEX('W Assumptions'!$D$22:$F$22,1,D307)</f>
        <v>12654.72</v>
      </c>
      <c r="Q307" s="81" t="n">
        <f aca="false">L307*'W Site Costs'!$R$7*INDEX('W Assumptions'!$D$17:$F$17,1,D307)</f>
        <v>6128.58014483478</v>
      </c>
      <c r="R307" s="112" t="n">
        <f aca="false">L307*'W Sites'!$M$7</f>
        <v>0</v>
      </c>
      <c r="S307" s="81" t="n">
        <f aca="false">SUM(M307:R307)</f>
        <v>69880.8755069217</v>
      </c>
      <c r="T307" s="81" t="n">
        <f aca="false">L307-S307</f>
        <v>32262.1269069913</v>
      </c>
      <c r="U307" s="81" t="n">
        <f aca="false">IF(C307='W Budget &amp; Owners'!$I$7,'W Budget &amp; Owners'!$F$7*'W Sites'!$G$7,0)</f>
        <v>0</v>
      </c>
      <c r="V307" s="81" t="n">
        <f aca="false">'W Sites'!$G$7*'W Budget &amp; Owners'!$E$7*INDEX('W Assumptions'!$D$27:$F$27,1,D307)*(IF(C307='W Budget &amp; Owners'!$I$7,'W Assumptions'!$D$65,0)+IF(C307=DATE(YEAR('W Sites'!$F$7),MONTH('W Sites'!$F$7),1),1-'W Assumptions'!$D$65,0))+'W Sites'!$G$7*'W Budget &amp; Owners'!$E$7*IF(C307=DATE(2027,9,1),'W Assumptions'!$D$67,IF(C307=DATE(2028,9,1),'W Assumptions'!$D$69,0))</f>
        <v>0</v>
      </c>
      <c r="W307" s="81" t="n">
        <f aca="false">IF(((YEAR(C307)-YEAR('W Sites'!$F$7))*12+MONTH(C307)-MONTH('W Sites'!$F$7))&lt;'W Budget &amp; Owners'!$H$7,'W Budget &amp; Owners'!$E$7/'W Budget &amp; Owners'!$H$7*F307,0)+IF(C307&gt;=DATE(2027,9,1),'W Budget &amp; Owners'!$E$7*'W Assumptions'!$D$67/'W Budget &amp; Owners'!$H$7*F307,0)+IF(C307&gt;=DATE(2028,9,1),'W Budget &amp; Owners'!$E$7*'W Assumptions'!$D$69/'W Budget &amp; Owners'!$H$7*F307,0)</f>
        <v>1400</v>
      </c>
      <c r="X307" s="81" t="n">
        <f aca="false">IF(C307='W Budget &amp; Owners'!$I$7,'W Budget &amp; Owners'!$G$7*'W Sites'!$G$7,0)</f>
        <v>0</v>
      </c>
      <c r="Y307" s="112" t="n">
        <f aca="false">IF(SUM($G$306:$G$315)=0,0,'W Fees &amp; KPI'!$Q$36*G307/SUM($G$306:$G$315))</f>
        <v>4870.23362136225</v>
      </c>
      <c r="Z307" s="119" t="n">
        <f aca="false">IF(SUM($G$306:$G$315)=0,0,SUM('W Fees &amp; KPI'!$J$36,'W Fees &amp; KPI'!$M$36)*G307/SUM($G$306:$G$315))</f>
        <v>5223.75</v>
      </c>
      <c r="AA307" s="117" t="n">
        <f aca="false">T307-U307-Z307-Y307</f>
        <v>22168.1432856291</v>
      </c>
      <c r="AB307" s="119" t="n">
        <f aca="false">IF('W Fees &amp; KPI'!$D$36=0,0,T307-U307-Z307)</f>
        <v>27038.3769069913</v>
      </c>
    </row>
    <row r="308" customFormat="false" ht="21" hidden="false" customHeight="true" outlineLevel="0" collapsed="false">
      <c r="C308" s="144" t="n">
        <f aca="false">47178</f>
        <v>47178</v>
      </c>
      <c r="D308" s="81" t="n">
        <f aca="false">3</f>
        <v>3</v>
      </c>
      <c r="E308" s="81" t="str">
        <f aca="false">'W Sites'!C8</f>
        <v>S03</v>
      </c>
      <c r="F308" s="145" t="n">
        <f aca="false">'W Sites'!$G$8*MAX(0,EOMONTH(C308,0)-MAX(C308,'W Sites'!$F$8)+1)/DAY(EOMONTH(C308,0))</f>
        <v>1</v>
      </c>
      <c r="G308" s="145" t="n">
        <f aca="false">'W Sites'!$G$8*MAX(0,EOMONTH(C308,0)-MAX(C308,'W Sites'!$F$8,'W Assumptions'!$D$58)+1)/DAY(EOMONTH(C308,0))</f>
        <v>1</v>
      </c>
      <c r="H308" s="81" t="n">
        <f aca="false">'W Sites'!$H$8*F308*'W Sites'!$I$8*IF(((YEAR(C308)-YEAR('W Sites'!$F$8))*12+MONTH(C308)-MONTH('W Sites'!$F$8))=0,'W Assumptions'!$D$62,IF(((YEAR(C308)-YEAR('W Sites'!$F$8))*12+MONTH(C308)-MONTH('W Sites'!$F$8))=1,'W Assumptions'!$D$63,1))*INDEX('W Assumptions'!$D$7:$F$7,1,D308)*INDEX('W Assumptions'!$D$32:$F$32,1,D308)*INDEX('W Assumptions'!$D$80:$D$91,MONTH(C308),1)/AVERAGE('W Assumptions'!$D$80:$D$91)</f>
        <v>3705.58356164384</v>
      </c>
      <c r="I308" s="81" t="n">
        <f aca="false">H308*'W Sites'!$J$8/(1+'W Assumptions'!$D$39)*INDEX('W Assumptions'!$D$12:$F$12,1,D308)*INDEX('W Assumptions'!$D$33:$F$33,1,D308)</f>
        <v>222201.290465753</v>
      </c>
      <c r="J308" s="81" t="n">
        <f aca="false">H308*'W Sites'!$K$8/(1+'W Assumptions'!$D$39)*INDEX('W Assumptions'!$D$12:$F$12,1,D308)*INDEX('W Assumptions'!$D$33:$F$33,1,D308)</f>
        <v>27347.8511342466</v>
      </c>
      <c r="K308" s="81" t="n">
        <f aca="false">'W Sites'!$L$8*F308*IF(((YEAR(C308)-YEAR('W Sites'!$F$8))*12+MONTH(C308)-MONTH('W Sites'!$F$8))=0,'W Assumptions'!$D$62,IF(((YEAR(C308)-YEAR('W Sites'!$F$8))*12+MONTH(C308)-MONTH('W Sites'!$F$8))=1,'W Assumptions'!$D$63,1))*INDEX('W Assumptions'!$D$7:$F$7,1,D308)*INDEX('W Assumptions'!$D$32:$F$32,1,D308)</f>
        <v>23760</v>
      </c>
      <c r="L308" s="81" t="n">
        <f aca="false">SUM(I308:K308)</f>
        <v>273309.1416</v>
      </c>
      <c r="M308" s="81" t="n">
        <f aca="false">'W Site Costs'!$I$8*F308*INDEX('W Assumptions'!$D$34:$F$34,1,D308)*INDEX('W Assumptions'!$D$22:$F$22,1,D308)</f>
        <v>52948.665</v>
      </c>
      <c r="N308" s="81" t="n">
        <f aca="false">'W Site Costs'!$J$8*F308*INDEX('W Assumptions'!$D$35:$F$35,1,D308)*INDEX('W Assumptions'!$D$22:$F$22,1,D308)</f>
        <v>37856</v>
      </c>
      <c r="O308" s="81" t="n">
        <f aca="false">L308*'W Site Costs'!$K$8</f>
        <v>0</v>
      </c>
      <c r="P308" s="81" t="n">
        <f aca="false">SUM('W Site Costs'!$L$8:$Q$8)*F308*INDEX('W Assumptions'!$D$35:$F$35,1,D308)*INDEX('W Assumptions'!$D$22:$F$22,1,D308)</f>
        <v>21091.2</v>
      </c>
      <c r="Q308" s="81" t="n">
        <f aca="false">L308*'W Site Costs'!$R$8*INDEX('W Assumptions'!$D$17:$F$17,1,D308)</f>
        <v>21864.731328</v>
      </c>
      <c r="R308" s="112" t="n">
        <f aca="false">L308*'W Sites'!$M$8</f>
        <v>0</v>
      </c>
      <c r="S308" s="81" t="n">
        <f aca="false">SUM(M308:R308)</f>
        <v>133760.596328</v>
      </c>
      <c r="T308" s="81" t="n">
        <f aca="false">L308-S308</f>
        <v>139548.545272</v>
      </c>
      <c r="U308" s="81" t="n">
        <f aca="false">IF(C308='W Budget &amp; Owners'!$I$8,'W Budget &amp; Owners'!$F$8*'W Sites'!$G$8,0)</f>
        <v>0</v>
      </c>
      <c r="V308" s="81" t="n">
        <f aca="false">'W Sites'!$G$8*'W Budget &amp; Owners'!$E$8*INDEX('W Assumptions'!$D$27:$F$27,1,D308)*(IF(C308='W Budget &amp; Owners'!$I$8,'W Assumptions'!$D$65,0)+IF(C308=DATE(YEAR('W Sites'!$F$8),MONTH('W Sites'!$F$8),1),1-'W Assumptions'!$D$65,0))+'W Sites'!$G$8*'W Budget &amp; Owners'!$E$8*IF(C308=DATE(2027,9,1),'W Assumptions'!$D$67,IF(C308=DATE(2028,9,1),'W Assumptions'!$D$69,0))</f>
        <v>0</v>
      </c>
      <c r="W308" s="81" t="n">
        <f aca="false">IF(((YEAR(C308)-YEAR('W Sites'!$F$8))*12+MONTH(C308)-MONTH('W Sites'!$F$8))&lt;'W Budget &amp; Owners'!$H$8,'W Budget &amp; Owners'!$E$8/'W Budget &amp; Owners'!$H$8*F308,0)+IF(C308&gt;=DATE(2027,9,1),'W Budget &amp; Owners'!$E$8*'W Assumptions'!$D$67/'W Budget &amp; Owners'!$H$8*F308,0)+IF(C308&gt;=DATE(2028,9,1),'W Budget &amp; Owners'!$E$8*'W Assumptions'!$D$69/'W Budget &amp; Owners'!$H$8*F308,0)</f>
        <v>10500</v>
      </c>
      <c r="X308" s="81" t="n">
        <f aca="false">IF(C308='W Budget &amp; Owners'!$I$8,'W Budget &amp; Owners'!$G$8*'W Sites'!$G$8,0)</f>
        <v>0</v>
      </c>
      <c r="Y308" s="112" t="n">
        <f aca="false">IF(SUM($G$306:$G$315)=0,0,'W Fees &amp; KPI'!$Q$36*G308/SUM($G$306:$G$315))</f>
        <v>4870.23362136225</v>
      </c>
      <c r="Z308" s="119" t="n">
        <f aca="false">IF(SUM($G$306:$G$315)=0,0,SUM('W Fees &amp; KPI'!$J$36,'W Fees &amp; KPI'!$M$36)*G308/SUM($G$306:$G$315))</f>
        <v>5223.75</v>
      </c>
      <c r="AA308" s="117" t="n">
        <f aca="false">T308-U308-Z308-Y308</f>
        <v>129454.561650638</v>
      </c>
      <c r="AB308" s="119" t="n">
        <f aca="false">IF('W Fees &amp; KPI'!$D$36=0,0,T308-U308-Z308)</f>
        <v>134324.795272</v>
      </c>
    </row>
    <row r="309" customFormat="false" ht="21" hidden="false" customHeight="true" outlineLevel="0" collapsed="false">
      <c r="C309" s="144" t="n">
        <f aca="false">47178</f>
        <v>47178</v>
      </c>
      <c r="D309" s="81" t="n">
        <f aca="false">3</f>
        <v>3</v>
      </c>
      <c r="E309" s="81" t="str">
        <f aca="false">'W Sites'!C9</f>
        <v>S04</v>
      </c>
      <c r="F309" s="145" t="n">
        <f aca="false">'W Sites'!$G$9*MAX(0,EOMONTH(C309,0)-MAX(C309,'W Sites'!$F$9)+1)/DAY(EOMONTH(C309,0))</f>
        <v>1</v>
      </c>
      <c r="G309" s="145" t="n">
        <f aca="false">'W Sites'!$G$9*MAX(0,EOMONTH(C309,0)-MAX(C309,'W Sites'!$F$9,'W Assumptions'!$D$58)+1)/DAY(EOMONTH(C309,0))</f>
        <v>1</v>
      </c>
      <c r="H309" s="81" t="n">
        <f aca="false">'W Sites'!$H$9*F309*'W Sites'!$I$9*IF(((YEAR(C309)-YEAR('W Sites'!$F$9))*12+MONTH(C309)-MONTH('W Sites'!$F$9))=0,'W Assumptions'!$D$62,IF(((YEAR(C309)-YEAR('W Sites'!$F$9))*12+MONTH(C309)-MONTH('W Sites'!$F$9))=1,'W Assumptions'!$D$63,1))*INDEX('W Assumptions'!$D$7:$F$7,1,D309)*INDEX('W Assumptions'!$D$32:$F$32,1,D309)*INDEX('W Assumptions'!$D$80:$D$91,MONTH(C309),1)/AVERAGE('W Assumptions'!$D$80:$D$91)</f>
        <v>2609.0625</v>
      </c>
      <c r="I309" s="81" t="n">
        <f aca="false">H309*'W Sites'!$J$9/(1+'W Assumptions'!$D$39)*INDEX('W Assumptions'!$D$12:$F$12,1,D309)*INDEX('W Assumptions'!$D$33:$F$33,1,D309)</f>
        <v>156449.596875</v>
      </c>
      <c r="J309" s="81" t="n">
        <f aca="false">H309*'W Sites'!$K$9/(1+'W Assumptions'!$D$39)*INDEX('W Assumptions'!$D$12:$F$12,1,D309)*INDEX('W Assumptions'!$D$33:$F$33,1,D309)</f>
        <v>16848.418125</v>
      </c>
      <c r="K309" s="81" t="n">
        <f aca="false">'W Sites'!$L$9*F309*IF(((YEAR(C309)-YEAR('W Sites'!$F$9))*12+MONTH(C309)-MONTH('W Sites'!$F$9))=0,'W Assumptions'!$D$62,IF(((YEAR(C309)-YEAR('W Sites'!$F$9))*12+MONTH(C309)-MONTH('W Sites'!$F$9))=1,'W Assumptions'!$D$63,1))*INDEX('W Assumptions'!$D$7:$F$7,1,D309)*INDEX('W Assumptions'!$D$32:$F$32,1,D309)</f>
        <v>17820</v>
      </c>
      <c r="L309" s="81" t="n">
        <f aca="false">SUM(I309:K309)</f>
        <v>191118.015</v>
      </c>
      <c r="M309" s="81" t="n">
        <f aca="false">'W Site Costs'!$I$9*F309*INDEX('W Assumptions'!$D$34:$F$34,1,D309)*INDEX('W Assumptions'!$D$22:$F$22,1,D309)</f>
        <v>41630.4</v>
      </c>
      <c r="N309" s="81" t="n">
        <f aca="false">'W Site Costs'!$J$9*F309*INDEX('W Assumptions'!$D$35:$F$35,1,D309)*INDEX('W Assumptions'!$D$22:$F$22,1,D309)</f>
        <v>23795.2</v>
      </c>
      <c r="O309" s="81" t="n">
        <f aca="false">L309*'W Site Costs'!$K$9</f>
        <v>0</v>
      </c>
      <c r="P309" s="81" t="n">
        <f aca="false">SUM('W Site Costs'!$L$9:$Q$9)*F309*INDEX('W Assumptions'!$D$35:$F$35,1,D309)*INDEX('W Assumptions'!$D$22:$F$22,1,D309)</f>
        <v>16764.8</v>
      </c>
      <c r="Q309" s="81" t="n">
        <f aca="false">L309*'W Site Costs'!$R$9*INDEX('W Assumptions'!$D$17:$F$17,1,D309)</f>
        <v>15289.4412</v>
      </c>
      <c r="R309" s="112" t="n">
        <f aca="false">L309*'W Sites'!$M$9</f>
        <v>0</v>
      </c>
      <c r="S309" s="81" t="n">
        <f aca="false">SUM(M309:R309)</f>
        <v>97479.8412</v>
      </c>
      <c r="T309" s="81" t="n">
        <f aca="false">L309-S309</f>
        <v>93638.1738</v>
      </c>
      <c r="U309" s="81" t="n">
        <f aca="false">IF(C309='W Budget &amp; Owners'!$I$9,'W Budget &amp; Owners'!$F$9*'W Sites'!$G$9,0)</f>
        <v>0</v>
      </c>
      <c r="V309" s="81" t="n">
        <f aca="false">'W Sites'!$G$9*'W Budget &amp; Owners'!$E$9*INDEX('W Assumptions'!$D$27:$F$27,1,D309)*(IF(C309='W Budget &amp; Owners'!$I$9,'W Assumptions'!$D$65,0)+IF(C309=DATE(YEAR('W Sites'!$F$9),MONTH('W Sites'!$F$9),1),1-'W Assumptions'!$D$65,0))+'W Sites'!$G$9*'W Budget &amp; Owners'!$E$9*IF(C309=DATE(2027,9,1),'W Assumptions'!$D$67,IF(C309=DATE(2028,9,1),'W Assumptions'!$D$69,0))</f>
        <v>0</v>
      </c>
      <c r="W309" s="81" t="n">
        <f aca="false">IF(((YEAR(C309)-YEAR('W Sites'!$F$9))*12+MONTH(C309)-MONTH('W Sites'!$F$9))&lt;'W Budget &amp; Owners'!$H$9,'W Budget &amp; Owners'!$E$9/'W Budget &amp; Owners'!$H$9*F309,0)+IF(C309&gt;=DATE(2027,9,1),'W Budget &amp; Owners'!$E$9*'W Assumptions'!$D$67/'W Budget &amp; Owners'!$H$9*F309,0)+IF(C309&gt;=DATE(2028,9,1),'W Budget &amp; Owners'!$E$9*'W Assumptions'!$D$69/'W Budget &amp; Owners'!$H$9*F309,0)</f>
        <v>8750</v>
      </c>
      <c r="X309" s="81" t="n">
        <f aca="false">IF(C309='W Budget &amp; Owners'!$I$9,'W Budget &amp; Owners'!$G$9*'W Sites'!$G$9,0)</f>
        <v>0</v>
      </c>
      <c r="Y309" s="112" t="n">
        <f aca="false">IF(SUM($G$306:$G$315)=0,0,'W Fees &amp; KPI'!$Q$36*G309/SUM($G$306:$G$315))</f>
        <v>4870.23362136225</v>
      </c>
      <c r="Z309" s="119" t="n">
        <f aca="false">IF(SUM($G$306:$G$315)=0,0,SUM('W Fees &amp; KPI'!$J$36,'W Fees &amp; KPI'!$M$36)*G309/SUM($G$306:$G$315))</f>
        <v>5223.75</v>
      </c>
      <c r="AA309" s="117" t="n">
        <f aca="false">T309-U309-Z309-Y309</f>
        <v>83544.1901786377</v>
      </c>
      <c r="AB309" s="119" t="n">
        <f aca="false">IF('W Fees &amp; KPI'!$D$36=0,0,T309-U309-Z309)</f>
        <v>88414.4238</v>
      </c>
    </row>
    <row r="310" customFormat="false" ht="21" hidden="false" customHeight="true" outlineLevel="0" collapsed="false">
      <c r="C310" s="144" t="n">
        <f aca="false">47178</f>
        <v>47178</v>
      </c>
      <c r="D310" s="81" t="n">
        <f aca="false">3</f>
        <v>3</v>
      </c>
      <c r="E310" s="81" t="str">
        <f aca="false">'W Sites'!C10</f>
        <v>S05</v>
      </c>
      <c r="F310" s="145" t="n">
        <f aca="false">'W Sites'!$G$10*MAX(0,EOMONTH(C310,0)-MAX(C310,'W Sites'!$F$10)+1)/DAY(EOMONTH(C310,0))</f>
        <v>1</v>
      </c>
      <c r="G310" s="145" t="n">
        <f aca="false">'W Sites'!$G$10*MAX(0,EOMONTH(C310,0)-MAX(C310,'W Sites'!$F$10,'W Assumptions'!$D$58)+1)/DAY(EOMONTH(C310,0))</f>
        <v>1</v>
      </c>
      <c r="H310" s="81" t="n">
        <f aca="false">'W Sites'!$H$10*F310*'W Sites'!$I$10*IF(((YEAR(C310)-YEAR('W Sites'!$F$10))*12+MONTH(C310)-MONTH('W Sites'!$F$10))=0,'W Assumptions'!$D$62,IF(((YEAR(C310)-YEAR('W Sites'!$F$10))*12+MONTH(C310)-MONTH('W Sites'!$F$10))=1,'W Assumptions'!$D$63,1))*INDEX('W Assumptions'!$D$7:$F$7,1,D310)*INDEX('W Assumptions'!$D$32:$F$32,1,D310)*INDEX('W Assumptions'!$D$80:$D$91,MONTH(C310),1)/AVERAGE('W Assumptions'!$D$80:$D$91)</f>
        <v>3335.02520547945</v>
      </c>
      <c r="I310" s="81" t="n">
        <f aca="false">H310*'W Sites'!$J$10/(1+'W Assumptions'!$D$39)*INDEX('W Assumptions'!$D$12:$F$12,1,D310)*INDEX('W Assumptions'!$D$33:$F$33,1,D310)</f>
        <v>199981.161419178</v>
      </c>
      <c r="J310" s="81" t="n">
        <f aca="false">H310*'W Sites'!$K$10/(1+'W Assumptions'!$D$39)*INDEX('W Assumptions'!$D$12:$F$12,1,D310)*INDEX('W Assumptions'!$D$33:$F$33,1,D310)</f>
        <v>24613.0660208219</v>
      </c>
      <c r="K310" s="81" t="n">
        <f aca="false">'W Sites'!$L$10*F310*IF(((YEAR(C310)-YEAR('W Sites'!$F$10))*12+MONTH(C310)-MONTH('W Sites'!$F$10))=0,'W Assumptions'!$D$62,IF(((YEAR(C310)-YEAR('W Sites'!$F$10))*12+MONTH(C310)-MONTH('W Sites'!$F$10))=1,'W Assumptions'!$D$63,1))*INDEX('W Assumptions'!$D$7:$F$7,1,D310)*INDEX('W Assumptions'!$D$32:$F$32,1,D310)</f>
        <v>21384</v>
      </c>
      <c r="L310" s="81" t="n">
        <f aca="false">SUM(I310:K310)</f>
        <v>245978.22744</v>
      </c>
      <c r="M310" s="81" t="n">
        <f aca="false">'W Site Costs'!$I$10*F310*INDEX('W Assumptions'!$D$34:$F$34,1,D310)*INDEX('W Assumptions'!$D$22:$F$22,1,D310)</f>
        <v>52948.665</v>
      </c>
      <c r="N310" s="81" t="n">
        <f aca="false">'W Site Costs'!$J$10*F310*INDEX('W Assumptions'!$D$35:$F$35,1,D310)*INDEX('W Assumptions'!$D$22:$F$22,1,D310)</f>
        <v>32448</v>
      </c>
      <c r="O310" s="81" t="n">
        <f aca="false">L310*'W Site Costs'!$K$10</f>
        <v>0</v>
      </c>
      <c r="P310" s="81" t="n">
        <f aca="false">SUM('W Site Costs'!$L$10:$Q$10)*F310*INDEX('W Assumptions'!$D$35:$F$35,1,D310)*INDEX('W Assumptions'!$D$22:$F$22,1,D310)</f>
        <v>20550.4</v>
      </c>
      <c r="Q310" s="81" t="n">
        <f aca="false">L310*'W Site Costs'!$R$10*INDEX('W Assumptions'!$D$17:$F$17,1,D310)</f>
        <v>19678.2581952</v>
      </c>
      <c r="R310" s="112" t="n">
        <f aca="false">L310*'W Sites'!$M$10</f>
        <v>0</v>
      </c>
      <c r="S310" s="81" t="n">
        <f aca="false">SUM(M310:R310)</f>
        <v>125625.3231952</v>
      </c>
      <c r="T310" s="81" t="n">
        <f aca="false">L310-S310</f>
        <v>120352.9042448</v>
      </c>
      <c r="U310" s="81" t="n">
        <f aca="false">IF(C310='W Budget &amp; Owners'!$I$10,'W Budget &amp; Owners'!$F$10*'W Sites'!$G$10,0)</f>
        <v>0</v>
      </c>
      <c r="V310" s="81" t="n">
        <f aca="false">'W Sites'!$G$10*'W Budget &amp; Owners'!$E$10*INDEX('W Assumptions'!$D$27:$F$27,1,D310)*(IF(C310='W Budget &amp; Owners'!$I$10,'W Assumptions'!$D$65,0)+IF(C310=DATE(YEAR('W Sites'!$F$10),MONTH('W Sites'!$F$10),1),1-'W Assumptions'!$D$65,0))+'W Sites'!$G$10*'W Budget &amp; Owners'!$E$10*IF(C310=DATE(2027,9,1),'W Assumptions'!$D$67,IF(C310=DATE(2028,9,1),'W Assumptions'!$D$69,0))</f>
        <v>0</v>
      </c>
      <c r="W310" s="81" t="n">
        <f aca="false">IF(((YEAR(C310)-YEAR('W Sites'!$F$10))*12+MONTH(C310)-MONTH('W Sites'!$F$10))&lt;'W Budget &amp; Owners'!$H$10,'W Budget &amp; Owners'!$E$10/'W Budget &amp; Owners'!$H$10*F310,0)+IF(C310&gt;=DATE(2027,9,1),'W Budget &amp; Owners'!$E$10*'W Assumptions'!$D$67/'W Budget &amp; Owners'!$H$10*F310,0)+IF(C310&gt;=DATE(2028,9,1),'W Budget &amp; Owners'!$E$10*'W Assumptions'!$D$69/'W Budget &amp; Owners'!$H$10*F310,0)</f>
        <v>13125</v>
      </c>
      <c r="X310" s="81" t="n">
        <f aca="false">IF(C310='W Budget &amp; Owners'!$I$10,'W Budget &amp; Owners'!$G$10*'W Sites'!$G$10,0)</f>
        <v>0</v>
      </c>
      <c r="Y310" s="112" t="n">
        <f aca="false">IF(SUM($G$306:$G$315)=0,0,'W Fees &amp; KPI'!$Q$36*G310/SUM($G$306:$G$315))</f>
        <v>4870.23362136225</v>
      </c>
      <c r="Z310" s="119" t="n">
        <f aca="false">IF(SUM($G$306:$G$315)=0,0,SUM('W Fees &amp; KPI'!$J$36,'W Fees &amp; KPI'!$M$36)*G310/SUM($G$306:$G$315))</f>
        <v>5223.75</v>
      </c>
      <c r="AA310" s="117" t="n">
        <f aca="false">T310-U310-Z310-Y310</f>
        <v>110258.920623438</v>
      </c>
      <c r="AB310" s="119" t="n">
        <f aca="false">IF('W Fees &amp; KPI'!$D$36=0,0,T310-U310-Z310)</f>
        <v>115129.1542448</v>
      </c>
    </row>
    <row r="311" customFormat="false" ht="21" hidden="false" customHeight="true" outlineLevel="0" collapsed="false">
      <c r="C311" s="144" t="n">
        <f aca="false">47178</f>
        <v>47178</v>
      </c>
      <c r="D311" s="81" t="n">
        <f aca="false">3</f>
        <v>3</v>
      </c>
      <c r="E311" s="81" t="str">
        <f aca="false">'W Sites'!C11</f>
        <v>S06</v>
      </c>
      <c r="F311" s="145" t="n">
        <f aca="false">'W Sites'!$G$11*MAX(0,EOMONTH(C311,0)-MAX(C311,'W Sites'!$F$11)+1)/DAY(EOMONTH(C311,0))</f>
        <v>1</v>
      </c>
      <c r="G311" s="145" t="n">
        <f aca="false">'W Sites'!$G$11*MAX(0,EOMONTH(C311,0)-MAX(C311,'W Sites'!$F$11,'W Assumptions'!$D$58)+1)/DAY(EOMONTH(C311,0))</f>
        <v>1</v>
      </c>
      <c r="H311" s="81" t="n">
        <f aca="false">'W Sites'!$H$11*F311*'W Sites'!$I$11*IF(((YEAR(C311)-YEAR('W Sites'!$F$11))*12+MONTH(C311)-MONTH('W Sites'!$F$11))=0,'W Assumptions'!$D$62,IF(((YEAR(C311)-YEAR('W Sites'!$F$11))*12+MONTH(C311)-MONTH('W Sites'!$F$11))=1,'W Assumptions'!$D$63,1))*INDEX('W Assumptions'!$D$7:$F$7,1,D311)*INDEX('W Assumptions'!$D$32:$F$32,1,D311)*INDEX('W Assumptions'!$D$80:$D$91,MONTH(C311),1)/AVERAGE('W Assumptions'!$D$80:$D$91)</f>
        <v>1019.304</v>
      </c>
      <c r="I311" s="81" t="n">
        <f aca="false">H311*'W Sites'!$J$11/(1+'W Assumptions'!$D$39)*INDEX('W Assumptions'!$D$12:$F$12,1,D311)*INDEX('W Assumptions'!$D$33:$F$33,1,D311)</f>
        <v>56419.8059269565</v>
      </c>
      <c r="J311" s="81" t="n">
        <f aca="false">H311*'W Sites'!$K$11/(1+'W Assumptions'!$D$39)*INDEX('W Assumptions'!$D$12:$F$12,1,D311)*INDEX('W Assumptions'!$D$33:$F$33,1,D311)</f>
        <v>2820.99029634783</v>
      </c>
      <c r="K311" s="81" t="n">
        <f aca="false">'W Sites'!$L$11*F311*IF(((YEAR(C311)-YEAR('W Sites'!$F$11))*12+MONTH(C311)-MONTH('W Sites'!$F$11))=0,'W Assumptions'!$D$62,IF(((YEAR(C311)-YEAR('W Sites'!$F$11))*12+MONTH(C311)-MONTH('W Sites'!$F$11))=1,'W Assumptions'!$D$63,1))*INDEX('W Assumptions'!$D$7:$F$7,1,D311)*INDEX('W Assumptions'!$D$32:$F$32,1,D311)</f>
        <v>23760</v>
      </c>
      <c r="L311" s="81" t="n">
        <f aca="false">SUM(I311:K311)</f>
        <v>83000.7962233044</v>
      </c>
      <c r="M311" s="81" t="n">
        <f aca="false">'W Site Costs'!$I$11*F311*INDEX('W Assumptions'!$D$34:$F$34,1,D311)*INDEX('W Assumptions'!$D$22:$F$22,1,D311)</f>
        <v>26279.19</v>
      </c>
      <c r="N311" s="81" t="n">
        <f aca="false">'W Site Costs'!$J$11*F311*INDEX('W Assumptions'!$D$35:$F$35,1,D311)*INDEX('W Assumptions'!$D$22:$F$22,1,D311)</f>
        <v>5408</v>
      </c>
      <c r="O311" s="81" t="n">
        <f aca="false">L311*'W Site Costs'!$K$11</f>
        <v>0</v>
      </c>
      <c r="P311" s="81" t="n">
        <f aca="false">SUM('W Site Costs'!$L$11:$Q$11)*F311*INDEX('W Assumptions'!$D$35:$F$35,1,D311)*INDEX('W Assumptions'!$D$22:$F$22,1,D311)</f>
        <v>8652.8</v>
      </c>
      <c r="Q311" s="81" t="n">
        <f aca="false">L311*'W Site Costs'!$R$11*INDEX('W Assumptions'!$D$17:$F$17,1,D311)</f>
        <v>8300.07962233044</v>
      </c>
      <c r="R311" s="112" t="n">
        <f aca="false">L311*'W Sites'!$M$11</f>
        <v>0</v>
      </c>
      <c r="S311" s="81" t="n">
        <f aca="false">SUM(M311:R311)</f>
        <v>48640.0696223304</v>
      </c>
      <c r="T311" s="81" t="n">
        <f aca="false">L311-S311</f>
        <v>34360.7266009739</v>
      </c>
      <c r="U311" s="81" t="n">
        <f aca="false">IF(C311='W Budget &amp; Owners'!$I$11,'W Budget &amp; Owners'!$F$11*'W Sites'!$G$11,0)</f>
        <v>0</v>
      </c>
      <c r="V311" s="81" t="n">
        <f aca="false">'W Sites'!$G$11*'W Budget &amp; Owners'!$E$11*INDEX('W Assumptions'!$D$27:$F$27,1,D311)*(IF(C311='W Budget &amp; Owners'!$I$11,'W Assumptions'!$D$65,0)+IF(C311=DATE(YEAR('W Sites'!$F$11),MONTH('W Sites'!$F$11),1),1-'W Assumptions'!$D$65,0))+'W Sites'!$G$11*'W Budget &amp; Owners'!$E$11*IF(C311=DATE(2027,9,1),'W Assumptions'!$D$67,IF(C311=DATE(2028,9,1),'W Assumptions'!$D$69,0))</f>
        <v>0</v>
      </c>
      <c r="W311" s="81" t="n">
        <f aca="false">IF(((YEAR(C311)-YEAR('W Sites'!$F$11))*12+MONTH(C311)-MONTH('W Sites'!$F$11))&lt;'W Budget &amp; Owners'!$H$11,'W Budget &amp; Owners'!$E$11/'W Budget &amp; Owners'!$H$11*F311,0)+IF(C311&gt;=DATE(2027,9,1),'W Budget &amp; Owners'!$E$11*'W Assumptions'!$D$67/'W Budget &amp; Owners'!$H$11*F311,0)+IF(C311&gt;=DATE(2028,9,1),'W Budget &amp; Owners'!$E$11*'W Assumptions'!$D$69/'W Budget &amp; Owners'!$H$11*F311,0)</f>
        <v>2625</v>
      </c>
      <c r="X311" s="81" t="n">
        <f aca="false">IF(C311='W Budget &amp; Owners'!$I$11,'W Budget &amp; Owners'!$G$11*'W Sites'!$G$11,0)</f>
        <v>0</v>
      </c>
      <c r="Y311" s="112" t="n">
        <f aca="false">IF(SUM($G$306:$G$315)=0,0,'W Fees &amp; KPI'!$Q$36*G311/SUM($G$306:$G$315))</f>
        <v>4870.23362136225</v>
      </c>
      <c r="Z311" s="119" t="n">
        <f aca="false">IF(SUM($G$306:$G$315)=0,0,SUM('W Fees &amp; KPI'!$J$36,'W Fees &amp; KPI'!$M$36)*G311/SUM($G$306:$G$315))</f>
        <v>5223.75</v>
      </c>
      <c r="AA311" s="117" t="n">
        <f aca="false">T311-U311-Z311-Y311</f>
        <v>24266.7429796117</v>
      </c>
      <c r="AB311" s="119" t="n">
        <f aca="false">IF('W Fees &amp; KPI'!$D$36=0,0,T311-U311-Z311)</f>
        <v>29136.9766009739</v>
      </c>
    </row>
    <row r="312" customFormat="false" ht="21" hidden="false" customHeight="true" outlineLevel="0" collapsed="false">
      <c r="C312" s="144" t="n">
        <f aca="false">47178</f>
        <v>47178</v>
      </c>
      <c r="D312" s="81" t="n">
        <f aca="false">3</f>
        <v>3</v>
      </c>
      <c r="E312" s="81" t="str">
        <f aca="false">'W Sites'!C12</f>
        <v>S07</v>
      </c>
      <c r="F312" s="145" t="n">
        <f aca="false">'W Sites'!$G$12*MAX(0,EOMONTH(C312,0)-MAX(C312,'W Sites'!$F$12)+1)/DAY(EOMONTH(C312,0))</f>
        <v>1</v>
      </c>
      <c r="G312" s="145" t="n">
        <f aca="false">'W Sites'!$G$12*MAX(0,EOMONTH(C312,0)-MAX(C312,'W Sites'!$F$12,'W Assumptions'!$D$58)+1)/DAY(EOMONTH(C312,0))</f>
        <v>1</v>
      </c>
      <c r="H312" s="81" t="n">
        <f aca="false">'W Sites'!$H$12*F312*'W Sites'!$I$12*IF(((YEAR(C312)-YEAR('W Sites'!$F$12))*12+MONTH(C312)-MONTH('W Sites'!$F$12))=0,'W Assumptions'!$D$62,IF(((YEAR(C312)-YEAR('W Sites'!$F$12))*12+MONTH(C312)-MONTH('W Sites'!$F$12))=1,'W Assumptions'!$D$63,1))*INDEX('W Assumptions'!$D$7:$F$7,1,D312)*INDEX('W Assumptions'!$D$32:$F$32,1,D312)*INDEX('W Assumptions'!$D$80:$D$91,MONTH(C312),1)/AVERAGE('W Assumptions'!$D$80:$D$91)</f>
        <v>1189.188</v>
      </c>
      <c r="I312" s="81" t="n">
        <f aca="false">H312*'W Sites'!$J$12/(1+'W Assumptions'!$D$39)*INDEX('W Assumptions'!$D$12:$F$12,1,D312)*INDEX('W Assumptions'!$D$33:$F$33,1,D312)</f>
        <v>65823.1069147826</v>
      </c>
      <c r="J312" s="81" t="n">
        <f aca="false">H312*'W Sites'!$K$12/(1+'W Assumptions'!$D$39)*INDEX('W Assumptions'!$D$12:$F$12,1,D312)*INDEX('W Assumptions'!$D$33:$F$33,1,D312)</f>
        <v>3291.15534573913</v>
      </c>
      <c r="K312" s="81" t="n">
        <f aca="false">'W Sites'!$L$12*F312*IF(((YEAR(C312)-YEAR('W Sites'!$F$12))*12+MONTH(C312)-MONTH('W Sites'!$F$12))=0,'W Assumptions'!$D$62,IF(((YEAR(C312)-YEAR('W Sites'!$F$12))*12+MONTH(C312)-MONTH('W Sites'!$F$12))=1,'W Assumptions'!$D$63,1))*INDEX('W Assumptions'!$D$7:$F$7,1,D312)*INDEX('W Assumptions'!$D$32:$F$32,1,D312)</f>
        <v>21384</v>
      </c>
      <c r="L312" s="81" t="n">
        <f aca="false">SUM(I312:K312)</f>
        <v>90498.2622605217</v>
      </c>
      <c r="M312" s="81" t="n">
        <f aca="false">'W Site Costs'!$I$12*F312*INDEX('W Assumptions'!$D$34:$F$34,1,D312)*INDEX('W Assumptions'!$D$22:$F$22,1,D312)</f>
        <v>26279.19</v>
      </c>
      <c r="N312" s="81" t="n">
        <f aca="false">'W Site Costs'!$J$12*F312*INDEX('W Assumptions'!$D$35:$F$35,1,D312)*INDEX('W Assumptions'!$D$22:$F$22,1,D312)</f>
        <v>8652.8</v>
      </c>
      <c r="O312" s="81" t="n">
        <f aca="false">L312*'W Site Costs'!$K$12</f>
        <v>0</v>
      </c>
      <c r="P312" s="81" t="n">
        <f aca="false">SUM('W Site Costs'!$L$12:$Q$12)*F312*INDEX('W Assumptions'!$D$35:$F$35,1,D312)*INDEX('W Assumptions'!$D$22:$F$22,1,D312)</f>
        <v>9193.6</v>
      </c>
      <c r="Q312" s="81" t="n">
        <f aca="false">L312*'W Site Costs'!$R$12*INDEX('W Assumptions'!$D$17:$F$17,1,D312)</f>
        <v>9049.82622605217</v>
      </c>
      <c r="R312" s="112" t="n">
        <f aca="false">L312*'W Sites'!$M$12</f>
        <v>0</v>
      </c>
      <c r="S312" s="81" t="n">
        <f aca="false">SUM(M312:R312)</f>
        <v>53175.4162260522</v>
      </c>
      <c r="T312" s="81" t="n">
        <f aca="false">L312-S312</f>
        <v>37322.8460344696</v>
      </c>
      <c r="U312" s="81" t="n">
        <f aca="false">IF(C312='W Budget &amp; Owners'!$I$12,'W Budget &amp; Owners'!$F$12*'W Sites'!$G$12,0)</f>
        <v>0</v>
      </c>
      <c r="V312" s="81" t="n">
        <f aca="false">'W Sites'!$G$12*'W Budget &amp; Owners'!$E$12*INDEX('W Assumptions'!$D$27:$F$27,1,D312)*(IF(C312='W Budget &amp; Owners'!$I$12,'W Assumptions'!$D$65,0)+IF(C312=DATE(YEAR('W Sites'!$F$12),MONTH('W Sites'!$F$12),1),1-'W Assumptions'!$D$65,0))+'W Sites'!$G$12*'W Budget &amp; Owners'!$E$12*IF(C312=DATE(2027,9,1),'W Assumptions'!$D$67,IF(C312=DATE(2028,9,1),'W Assumptions'!$D$69,0))</f>
        <v>0</v>
      </c>
      <c r="W312" s="81" t="n">
        <f aca="false">IF(((YEAR(C312)-YEAR('W Sites'!$F$12))*12+MONTH(C312)-MONTH('W Sites'!$F$12))&lt;'W Budget &amp; Owners'!$H$12,'W Budget &amp; Owners'!$E$12/'W Budget &amp; Owners'!$H$12*F312,0)+IF(C312&gt;=DATE(2027,9,1),'W Budget &amp; Owners'!$E$12*'W Assumptions'!$D$67/'W Budget &amp; Owners'!$H$12*F312,0)+IF(C312&gt;=DATE(2028,9,1),'W Budget &amp; Owners'!$E$12*'W Assumptions'!$D$69/'W Budget &amp; Owners'!$H$12*F312,0)</f>
        <v>7875</v>
      </c>
      <c r="X312" s="81" t="n">
        <f aca="false">IF(C312='W Budget &amp; Owners'!$I$12,'W Budget &amp; Owners'!$G$12*'W Sites'!$G$12,0)</f>
        <v>0</v>
      </c>
      <c r="Y312" s="112" t="n">
        <f aca="false">IF(SUM($G$306:$G$315)=0,0,'W Fees &amp; KPI'!$Q$36*G312/SUM($G$306:$G$315))</f>
        <v>4870.23362136225</v>
      </c>
      <c r="Z312" s="119" t="n">
        <f aca="false">IF(SUM($G$306:$G$315)=0,0,SUM('W Fees &amp; KPI'!$J$36,'W Fees &amp; KPI'!$M$36)*G312/SUM($G$306:$G$315))</f>
        <v>5223.75</v>
      </c>
      <c r="AA312" s="117" t="n">
        <f aca="false">T312-U312-Z312-Y312</f>
        <v>27228.8624131073</v>
      </c>
      <c r="AB312" s="119" t="n">
        <f aca="false">IF('W Fees &amp; KPI'!$D$36=0,0,T312-U312-Z312)</f>
        <v>32099.0960344696</v>
      </c>
    </row>
    <row r="313" customFormat="false" ht="21" hidden="false" customHeight="true" outlineLevel="0" collapsed="false">
      <c r="C313" s="144" t="n">
        <f aca="false">47178</f>
        <v>47178</v>
      </c>
      <c r="D313" s="81" t="n">
        <f aca="false">3</f>
        <v>3</v>
      </c>
      <c r="E313" s="81" t="str">
        <f aca="false">'W Sites'!C13</f>
        <v>S08</v>
      </c>
      <c r="F313" s="145" t="n">
        <f aca="false">'W Sites'!$G$13*MAX(0,EOMONTH(C313,0)-MAX(C313,'W Sites'!$F$13)+1)/DAY(EOMONTH(C313,0))</f>
        <v>1</v>
      </c>
      <c r="G313" s="145" t="n">
        <f aca="false">'W Sites'!$G$13*MAX(0,EOMONTH(C313,0)-MAX(C313,'W Sites'!$F$13,'W Assumptions'!$D$58)+1)/DAY(EOMONTH(C313,0))</f>
        <v>1</v>
      </c>
      <c r="H313" s="81" t="n">
        <f aca="false">'W Sites'!$H$13*F313*'W Sites'!$I$13*IF(((YEAR(C313)-YEAR('W Sites'!$F$13))*12+MONTH(C313)-MONTH('W Sites'!$F$13))=0,'W Assumptions'!$D$62,IF(((YEAR(C313)-YEAR('W Sites'!$F$13))*12+MONTH(C313)-MONTH('W Sites'!$F$13))=1,'W Assumptions'!$D$63,1))*INDEX('W Assumptions'!$D$7:$F$7,1,D313)*INDEX('W Assumptions'!$D$32:$F$32,1,D313)*INDEX('W Assumptions'!$D$80:$D$91,MONTH(C313),1)/AVERAGE('W Assumptions'!$D$80:$D$91)</f>
        <v>5096.52</v>
      </c>
      <c r="I313" s="81" t="n">
        <f aca="false">H313*'W Sites'!$J$13/(1+'W Assumptions'!$D$39)*INDEX('W Assumptions'!$D$12:$F$12,1,D313)*INDEX('W Assumptions'!$D$33:$F$33,1,D313)</f>
        <v>188066.019756522</v>
      </c>
      <c r="J313" s="81" t="n">
        <f aca="false">H313*'W Sites'!$K$13/(1+'W Assumptions'!$D$39)*INDEX('W Assumptions'!$D$12:$F$12,1,D313)*INDEX('W Assumptions'!$D$33:$F$33,1,D313)</f>
        <v>23508.2524695652</v>
      </c>
      <c r="K313" s="81" t="n">
        <f aca="false">'W Sites'!$L$13*F313*IF(((YEAR(C313)-YEAR('W Sites'!$F$13))*12+MONTH(C313)-MONTH('W Sites'!$F$13))=0,'W Assumptions'!$D$62,IF(((YEAR(C313)-YEAR('W Sites'!$F$13))*12+MONTH(C313)-MONTH('W Sites'!$F$13))=1,'W Assumptions'!$D$63,1))*INDEX('W Assumptions'!$D$7:$F$7,1,D313)*INDEX('W Assumptions'!$D$32:$F$32,1,D313)</f>
        <v>17820</v>
      </c>
      <c r="L313" s="81" t="n">
        <f aca="false">SUM(I313:K313)</f>
        <v>229394.272226087</v>
      </c>
      <c r="M313" s="81" t="n">
        <f aca="false">'W Site Costs'!$I$13*F313*INDEX('W Assumptions'!$D$34:$F$34,1,D313)*INDEX('W Assumptions'!$D$22:$F$22,1,D313)</f>
        <v>58802.94</v>
      </c>
      <c r="N313" s="81" t="n">
        <f aca="false">'W Site Costs'!$J$13*F313*INDEX('W Assumptions'!$D$35:$F$35,1,D313)*INDEX('W Assumptions'!$D$22:$F$22,1,D313)</f>
        <v>0</v>
      </c>
      <c r="O313" s="81" t="n">
        <f aca="false">L313*'W Site Costs'!$K$13</f>
        <v>22939.4272226087</v>
      </c>
      <c r="P313" s="81" t="n">
        <f aca="false">SUM('W Site Costs'!$L$13:$Q$13)*F313*INDEX('W Assumptions'!$D$35:$F$35,1,D313)*INDEX('W Assumptions'!$D$22:$F$22,1,D313)</f>
        <v>27580.8</v>
      </c>
      <c r="Q313" s="81" t="n">
        <f aca="false">L313*'W Site Costs'!$R$13*INDEX('W Assumptions'!$D$17:$F$17,1,D313)</f>
        <v>18351.541778087</v>
      </c>
      <c r="R313" s="112" t="n">
        <f aca="false">L313*'W Sites'!$M$13</f>
        <v>0</v>
      </c>
      <c r="S313" s="81" t="n">
        <f aca="false">SUM(M313:R313)</f>
        <v>127674.709000696</v>
      </c>
      <c r="T313" s="81" t="n">
        <f aca="false">L313-S313</f>
        <v>101719.563225391</v>
      </c>
      <c r="U313" s="81" t="n">
        <f aca="false">IF(C313='W Budget &amp; Owners'!$I$13,'W Budget &amp; Owners'!$F$13*'W Sites'!$G$13,0)</f>
        <v>0</v>
      </c>
      <c r="V313" s="81" t="n">
        <f aca="false">'W Sites'!$G$13*'W Budget &amp; Owners'!$E$13*INDEX('W Assumptions'!$D$27:$F$27,1,D313)*(IF(C313='W Budget &amp; Owners'!$I$13,'W Assumptions'!$D$65,0)+IF(C313=DATE(YEAR('W Sites'!$F$13),MONTH('W Sites'!$F$13),1),1-'W Assumptions'!$D$65,0))+'W Sites'!$G$13*'W Budget &amp; Owners'!$E$13*IF(C313=DATE(2027,9,1),'W Assumptions'!$D$67,IF(C313=DATE(2028,9,1),'W Assumptions'!$D$69,0))</f>
        <v>0</v>
      </c>
      <c r="W313" s="81" t="n">
        <f aca="false">IF(((YEAR(C313)-YEAR('W Sites'!$F$13))*12+MONTH(C313)-MONTH('W Sites'!$F$13))&lt;'W Budget &amp; Owners'!$H$13,'W Budget &amp; Owners'!$E$13/'W Budget &amp; Owners'!$H$13*F313,0)+IF(C313&gt;=DATE(2027,9,1),'W Budget &amp; Owners'!$E$13*'W Assumptions'!$D$67/'W Budget &amp; Owners'!$H$13*F313,0)+IF(C313&gt;=DATE(2028,9,1),'W Budget &amp; Owners'!$E$13*'W Assumptions'!$D$69/'W Budget &amp; Owners'!$H$13*F313,0)</f>
        <v>21000</v>
      </c>
      <c r="X313" s="81" t="n">
        <f aca="false">IF(C313='W Budget &amp; Owners'!$I$13,'W Budget &amp; Owners'!$G$13*'W Sites'!$G$13,0)</f>
        <v>0</v>
      </c>
      <c r="Y313" s="112" t="n">
        <f aca="false">IF(SUM($G$306:$G$315)=0,0,'W Fees &amp; KPI'!$Q$36*G313/SUM($G$306:$G$315))</f>
        <v>4870.23362136225</v>
      </c>
      <c r="Z313" s="119" t="n">
        <f aca="false">IF(SUM($G$306:$G$315)=0,0,SUM('W Fees &amp; KPI'!$J$36,'W Fees &amp; KPI'!$M$36)*G313/SUM($G$306:$G$315))</f>
        <v>5223.75</v>
      </c>
      <c r="AA313" s="117" t="n">
        <f aca="false">T313-U313-Z313-Y313</f>
        <v>91625.5796040291</v>
      </c>
      <c r="AB313" s="119" t="n">
        <f aca="false">IF('W Fees &amp; KPI'!$D$36=0,0,T313-U313-Z313)</f>
        <v>96495.8132253913</v>
      </c>
    </row>
    <row r="314" customFormat="false" ht="21" hidden="false" customHeight="true" outlineLevel="0" collapsed="false">
      <c r="C314" s="144" t="n">
        <f aca="false">47178</f>
        <v>47178</v>
      </c>
      <c r="D314" s="81" t="n">
        <f aca="false">3</f>
        <v>3</v>
      </c>
      <c r="E314" s="81" t="str">
        <f aca="false">'W Sites'!C14</f>
        <v>S09</v>
      </c>
      <c r="F314" s="145" t="n">
        <f aca="false">'W Sites'!$G$14*MAX(0,EOMONTH(C314,0)-MAX(C314,'W Sites'!$F$14)+1)/DAY(EOMONTH(C314,0))</f>
        <v>0</v>
      </c>
      <c r="G314" s="145" t="n">
        <f aca="false">'W Sites'!$G$14*MAX(0,EOMONTH(C314,0)-MAX(C314,'W Sites'!$F$14,'W Assumptions'!$D$58)+1)/DAY(EOMONTH(C314,0))</f>
        <v>0</v>
      </c>
      <c r="H314" s="81" t="n">
        <f aca="false">'W Sites'!$H$14*F314*'W Sites'!$I$14*IF(((YEAR(C314)-YEAR('W Sites'!$F$14))*12+MONTH(C314)-MONTH('W Sites'!$F$14))=0,'W Assumptions'!$D$62,IF(((YEAR(C314)-YEAR('W Sites'!$F$14))*12+MONTH(C314)-MONTH('W Sites'!$F$14))=1,'W Assumptions'!$D$63,1))*INDEX('W Assumptions'!$D$7:$F$7,1,D314)*INDEX('W Assumptions'!$D$32:$F$32,1,D314)*INDEX('W Assumptions'!$D$80:$D$91,MONTH(C314),1)/AVERAGE('W Assumptions'!$D$80:$D$91)</f>
        <v>0</v>
      </c>
      <c r="I314" s="81" t="n">
        <f aca="false">H314*'W Sites'!$J$14/(1+'W Assumptions'!$D$39)*INDEX('W Assumptions'!$D$12:$F$12,1,D314)*INDEX('W Assumptions'!$D$33:$F$33,1,D314)</f>
        <v>0</v>
      </c>
      <c r="J314" s="81" t="n">
        <f aca="false">H314*'W Sites'!$K$14/(1+'W Assumptions'!$D$39)*INDEX('W Assumptions'!$D$12:$F$12,1,D314)*INDEX('W Assumptions'!$D$33:$F$33,1,D314)</f>
        <v>0</v>
      </c>
      <c r="K314" s="81" t="n">
        <f aca="false">'W Sites'!$L$14*F314*IF(((YEAR(C314)-YEAR('W Sites'!$F$14))*12+MONTH(C314)-MONTH('W Sites'!$F$14))=0,'W Assumptions'!$D$62,IF(((YEAR(C314)-YEAR('W Sites'!$F$14))*12+MONTH(C314)-MONTH('W Sites'!$F$14))=1,'W Assumptions'!$D$63,1))*INDEX('W Assumptions'!$D$7:$F$7,1,D314)*INDEX('W Assumptions'!$D$32:$F$32,1,D314)</f>
        <v>0</v>
      </c>
      <c r="L314" s="81" t="n">
        <f aca="false">SUM(I314:K314)</f>
        <v>0</v>
      </c>
      <c r="M314" s="81" t="n">
        <f aca="false">'W Site Costs'!$I$14*F314*INDEX('W Assumptions'!$D$34:$F$34,1,D314)*INDEX('W Assumptions'!$D$22:$F$22,1,D314)</f>
        <v>0</v>
      </c>
      <c r="N314" s="81" t="n">
        <f aca="false">'W Site Costs'!$J$14*F314*INDEX('W Assumptions'!$D$35:$F$35,1,D314)*INDEX('W Assumptions'!$D$22:$F$22,1,D314)</f>
        <v>0</v>
      </c>
      <c r="O314" s="81" t="n">
        <f aca="false">L314*'W Site Costs'!$K$14</f>
        <v>0</v>
      </c>
      <c r="P314" s="81" t="n">
        <f aca="false">SUM('W Site Costs'!$L$14:$Q$14)*F314*INDEX('W Assumptions'!$D$35:$F$35,1,D314)*INDEX('W Assumptions'!$D$22:$F$22,1,D314)</f>
        <v>0</v>
      </c>
      <c r="Q314" s="81" t="n">
        <f aca="false">L314*'W Site Costs'!$R$14*INDEX('W Assumptions'!$D$17:$F$17,1,D314)</f>
        <v>0</v>
      </c>
      <c r="R314" s="112" t="n">
        <f aca="false">L314*'W Sites'!$M$14</f>
        <v>0</v>
      </c>
      <c r="S314" s="81" t="n">
        <f aca="false">SUM(M314:R314)</f>
        <v>0</v>
      </c>
      <c r="T314" s="81" t="n">
        <f aca="false">L314-S314</f>
        <v>0</v>
      </c>
      <c r="U314" s="81" t="n">
        <f aca="false">IF(C314='W Budget &amp; Owners'!$I$14,'W Budget &amp; Owners'!$F$14*'W Sites'!$G$14,0)</f>
        <v>0</v>
      </c>
      <c r="V314" s="81" t="n">
        <f aca="false">'W Sites'!$G$14*'W Budget &amp; Owners'!$E$14*INDEX('W Assumptions'!$D$27:$F$27,1,D314)*(IF(C314='W Budget &amp; Owners'!$I$14,'W Assumptions'!$D$65,0)+IF(C314=DATE(YEAR('W Sites'!$F$14),MONTH('W Sites'!$F$14),1),1-'W Assumptions'!$D$65,0))+'W Sites'!$G$14*'W Budget &amp; Owners'!$E$14*IF(C314=DATE(2027,9,1),'W Assumptions'!$D$67,IF(C314=DATE(2028,9,1),'W Assumptions'!$D$69,0))</f>
        <v>0</v>
      </c>
      <c r="W314" s="81" t="n">
        <f aca="false">IF(((YEAR(C314)-YEAR('W Sites'!$F$14))*12+MONTH(C314)-MONTH('W Sites'!$F$14))&lt;'W Budget &amp; Owners'!$H$14,'W Budget &amp; Owners'!$E$14/'W Budget &amp; Owners'!$H$14*F314,0)+IF(C314&gt;=DATE(2027,9,1),'W Budget &amp; Owners'!$E$14*'W Assumptions'!$D$67/'W Budget &amp; Owners'!$H$14*F314,0)+IF(C314&gt;=DATE(2028,9,1),'W Budget &amp; Owners'!$E$14*'W Assumptions'!$D$69/'W Budget &amp; Owners'!$H$14*F314,0)</f>
        <v>0</v>
      </c>
      <c r="X314" s="81" t="n">
        <f aca="false">IF(C314='W Budget &amp; Owners'!$I$14,'W Budget &amp; Owners'!$G$14*'W Sites'!$G$14,0)</f>
        <v>0</v>
      </c>
      <c r="Y314" s="112" t="n">
        <f aca="false">IF(SUM($G$306:$G$315)=0,0,'W Fees &amp; KPI'!$Q$36*G314/SUM($G$306:$G$315))</f>
        <v>0</v>
      </c>
      <c r="Z314" s="119" t="n">
        <f aca="false">IF(SUM($G$306:$G$315)=0,0,SUM('W Fees &amp; KPI'!$J$36,'W Fees &amp; KPI'!$M$36)*G314/SUM($G$306:$G$315))</f>
        <v>0</v>
      </c>
      <c r="AA314" s="117" t="n">
        <f aca="false">T314-U314-Z314-Y314</f>
        <v>0</v>
      </c>
      <c r="AB314" s="119" t="n">
        <f aca="false">IF('W Fees &amp; KPI'!$D$36=0,0,T314-U314-Z314)</f>
        <v>0</v>
      </c>
    </row>
    <row r="315" customFormat="false" ht="21" hidden="false" customHeight="true" outlineLevel="0" collapsed="false">
      <c r="C315" s="144" t="n">
        <f aca="false">47178</f>
        <v>47178</v>
      </c>
      <c r="D315" s="81" t="n">
        <f aca="false">3</f>
        <v>3</v>
      </c>
      <c r="E315" s="81" t="str">
        <f aca="false">'W Sites'!C15</f>
        <v>S10</v>
      </c>
      <c r="F315" s="145" t="n">
        <f aca="false">'W Sites'!$G$15*MAX(0,EOMONTH(C315,0)-MAX(C315,'W Sites'!$F$15)+1)/DAY(EOMONTH(C315,0))</f>
        <v>0</v>
      </c>
      <c r="G315" s="145" t="n">
        <f aca="false">'W Sites'!$G$15*MAX(0,EOMONTH(C315,0)-MAX(C315,'W Sites'!$F$15,'W Assumptions'!$D$58)+1)/DAY(EOMONTH(C315,0))</f>
        <v>0</v>
      </c>
      <c r="H315" s="81" t="n">
        <f aca="false">'W Sites'!$H$15*F315*'W Sites'!$I$15*IF(((YEAR(C315)-YEAR('W Sites'!$F$15))*12+MONTH(C315)-MONTH('W Sites'!$F$15))=0,'W Assumptions'!$D$62,IF(((YEAR(C315)-YEAR('W Sites'!$F$15))*12+MONTH(C315)-MONTH('W Sites'!$F$15))=1,'W Assumptions'!$D$63,1))*INDEX('W Assumptions'!$D$7:$F$7,1,D315)*INDEX('W Assumptions'!$D$32:$F$32,1,D315)*INDEX('W Assumptions'!$D$80:$D$91,MONTH(C315),1)/AVERAGE('W Assumptions'!$D$80:$D$91)</f>
        <v>0</v>
      </c>
      <c r="I315" s="81" t="n">
        <f aca="false">H315*'W Sites'!$J$15/(1+'W Assumptions'!$D$39)*INDEX('W Assumptions'!$D$12:$F$12,1,D315)*INDEX('W Assumptions'!$D$33:$F$33,1,D315)</f>
        <v>0</v>
      </c>
      <c r="J315" s="81" t="n">
        <f aca="false">H315*'W Sites'!$K$15/(1+'W Assumptions'!$D$39)*INDEX('W Assumptions'!$D$12:$F$12,1,D315)*INDEX('W Assumptions'!$D$33:$F$33,1,D315)</f>
        <v>0</v>
      </c>
      <c r="K315" s="81" t="n">
        <f aca="false">'W Sites'!$L$15*F315*IF(((YEAR(C315)-YEAR('W Sites'!$F$15))*12+MONTH(C315)-MONTH('W Sites'!$F$15))=0,'W Assumptions'!$D$62,IF(((YEAR(C315)-YEAR('W Sites'!$F$15))*12+MONTH(C315)-MONTH('W Sites'!$F$15))=1,'W Assumptions'!$D$63,1))*INDEX('W Assumptions'!$D$7:$F$7,1,D315)*INDEX('W Assumptions'!$D$32:$F$32,1,D315)</f>
        <v>0</v>
      </c>
      <c r="L315" s="81" t="n">
        <f aca="false">SUM(I315:K315)</f>
        <v>0</v>
      </c>
      <c r="M315" s="81" t="n">
        <f aca="false">'W Site Costs'!$I$15*F315*INDEX('W Assumptions'!$D$34:$F$34,1,D315)*INDEX('W Assumptions'!$D$22:$F$22,1,D315)</f>
        <v>0</v>
      </c>
      <c r="N315" s="81" t="n">
        <f aca="false">'W Site Costs'!$J$15*F315*INDEX('W Assumptions'!$D$35:$F$35,1,D315)*INDEX('W Assumptions'!$D$22:$F$22,1,D315)</f>
        <v>0</v>
      </c>
      <c r="O315" s="81" t="n">
        <f aca="false">L315*'W Site Costs'!$K$15</f>
        <v>0</v>
      </c>
      <c r="P315" s="81" t="n">
        <f aca="false">SUM('W Site Costs'!$L$15:$Q$15)*F315*INDEX('W Assumptions'!$D$35:$F$35,1,D315)*INDEX('W Assumptions'!$D$22:$F$22,1,D315)</f>
        <v>0</v>
      </c>
      <c r="Q315" s="81" t="n">
        <f aca="false">L315*'W Site Costs'!$R$15*INDEX('W Assumptions'!$D$17:$F$17,1,D315)</f>
        <v>0</v>
      </c>
      <c r="R315" s="112" t="n">
        <f aca="false">L315*'W Sites'!$M$15</f>
        <v>0</v>
      </c>
      <c r="S315" s="81" t="n">
        <f aca="false">SUM(M315:R315)</f>
        <v>0</v>
      </c>
      <c r="T315" s="81" t="n">
        <f aca="false">L315-S315</f>
        <v>0</v>
      </c>
      <c r="U315" s="81" t="n">
        <f aca="false">IF(C315='W Budget &amp; Owners'!$I$15,'W Budget &amp; Owners'!$F$15*'W Sites'!$G$15,0)</f>
        <v>0</v>
      </c>
      <c r="V315" s="81" t="n">
        <f aca="false">'W Sites'!$G$15*'W Budget &amp; Owners'!$E$15*INDEX('W Assumptions'!$D$27:$F$27,1,D315)*(IF(C315='W Budget &amp; Owners'!$I$15,'W Assumptions'!$D$65,0)+IF(C315=DATE(YEAR('W Sites'!$F$15),MONTH('W Sites'!$F$15),1),1-'W Assumptions'!$D$65,0))+'W Sites'!$G$15*'W Budget &amp; Owners'!$E$15*IF(C315=DATE(2027,9,1),'W Assumptions'!$D$67,IF(C315=DATE(2028,9,1),'W Assumptions'!$D$69,0))</f>
        <v>0</v>
      </c>
      <c r="W315" s="81" t="n">
        <f aca="false">IF(((YEAR(C315)-YEAR('W Sites'!$F$15))*12+MONTH(C315)-MONTH('W Sites'!$F$15))&lt;'W Budget &amp; Owners'!$H$15,'W Budget &amp; Owners'!$E$15/'W Budget &amp; Owners'!$H$15*F315,0)+IF(C315&gt;=DATE(2027,9,1),'W Budget &amp; Owners'!$E$15*'W Assumptions'!$D$67/'W Budget &amp; Owners'!$H$15*F315,0)+IF(C315&gt;=DATE(2028,9,1),'W Budget &amp; Owners'!$E$15*'W Assumptions'!$D$69/'W Budget &amp; Owners'!$H$15*F315,0)</f>
        <v>0</v>
      </c>
      <c r="X315" s="81" t="n">
        <f aca="false">IF(C315='W Budget &amp; Owners'!$I$15,'W Budget &amp; Owners'!$G$15*'W Sites'!$G$15,0)</f>
        <v>0</v>
      </c>
      <c r="Y315" s="112" t="n">
        <f aca="false">IF(SUM($G$306:$G$315)=0,0,'W Fees &amp; KPI'!$Q$36*G315/SUM($G$306:$G$315))</f>
        <v>0</v>
      </c>
      <c r="Z315" s="119" t="n">
        <f aca="false">IF(SUM($G$306:$G$315)=0,0,SUM('W Fees &amp; KPI'!$J$36,'W Fees &amp; KPI'!$M$36)*G315/SUM($G$306:$G$315))</f>
        <v>0</v>
      </c>
      <c r="AA315" s="117" t="n">
        <f aca="false">T315-U315-Z315-Y315</f>
        <v>0</v>
      </c>
      <c r="AB315" s="119" t="n">
        <f aca="false">IF('W Fees &amp; KPI'!$D$36=0,0,T315-U315-Z315)</f>
        <v>0</v>
      </c>
    </row>
    <row r="316" customFormat="false" ht="21" hidden="false" customHeight="true" outlineLevel="0" collapsed="false">
      <c r="C316" s="144" t="n">
        <f aca="false">47209</f>
        <v>47209</v>
      </c>
      <c r="D316" s="81" t="n">
        <f aca="false">3</f>
        <v>3</v>
      </c>
      <c r="E316" s="81" t="str">
        <f aca="false">'W Sites'!C6</f>
        <v>S01</v>
      </c>
      <c r="F316" s="145" t="n">
        <f aca="false">'W Sites'!$G$6*MAX(0,EOMONTH(C316,0)-MAX(C316,'W Sites'!$F$6)+1)/DAY(EOMONTH(C316,0))</f>
        <v>1</v>
      </c>
      <c r="G316" s="145" t="n">
        <f aca="false">'W Sites'!$G$6*MAX(0,EOMONTH(C316,0)-MAX(C316,'W Sites'!$F$6,'W Assumptions'!$D$58)+1)/DAY(EOMONTH(C316,0))</f>
        <v>1</v>
      </c>
      <c r="H316" s="81" t="n">
        <f aca="false">'W Sites'!$D$45*INDEX('W Sites'!$E$65:$E$76,MONTH(C316),1)/SUM('W Sites'!$E$65:$E$76)*F316*(1+'W Sites'!$D$56)^(D316-1)*INDEX('W Assumptions'!$D$7:$F$7,1,D316)</f>
        <v>6584.296</v>
      </c>
      <c r="I316" s="81" t="n">
        <f aca="false">H316*'W Sites'!$D$46/(1+'W Sites'!$D$54*'W Assumptions'!$D$39)*INDEX('W Assumptions'!$D$12:$F$12,1,D316)</f>
        <v>362136.28</v>
      </c>
      <c r="J316" s="81" t="n">
        <f aca="false">H316*SUM('W Sites'!$D$47:$D$49)/(1+'W Sites'!$D$54*'W Assumptions'!$D$39)*INDEX('W Assumptions'!$D$12:$F$12,1,D316)</f>
        <v>197528.88</v>
      </c>
      <c r="K316" s="81" t="n">
        <f aca="false">SUM('W Sites'!$D$50:$D$52)/12*F316*(1+'W Sites'!$D$56)^(D316-1)*INDEX('W Assumptions'!$D$7:$F$7,1,D316)*INDEX('W Assumptions'!$D$12:$F$12,1,D316)/(1+'W Sites'!$D$54*'W Assumptions'!$D$39)</f>
        <v>37453.3333333333</v>
      </c>
      <c r="L316" s="81" t="n">
        <f aca="false">SUM(I316:K316)</f>
        <v>597118.493333334</v>
      </c>
      <c r="M316" s="81" t="n">
        <f aca="false">('W Site Costs'!$I$6+INDEX('W Sites'!$F$65:$F$76,MONTH(C316),1)*'W Site Costs'!$V$6)*F316*(1+'W Sites'!$D$58)^(D316-1)*INDEX('W Assumptions'!$D$22:$F$22,1,D316)</f>
        <v>176300.8</v>
      </c>
      <c r="N316" s="81" t="n">
        <f aca="false">'W Site Costs'!$J$6*F316*INDEX('W Assumptions'!$D$35:$F$35,1,D316)*INDEX('W Assumptions'!$D$22:$F$22,1,D316)</f>
        <v>16224</v>
      </c>
      <c r="O316" s="81" t="n">
        <f aca="false">L316*'W Site Costs'!$K$6</f>
        <v>0</v>
      </c>
      <c r="P316" s="81" t="n">
        <f aca="false">(SUM('W Site Costs'!$L$6:$Q$6)+INDEX('W Sites'!$F$65:$F$76,MONTH(C316),1)*'W Site Costs'!$W$6)*F316*(1+'W Sites'!$D$58)^(D316-1)*INDEX('W Assumptions'!$D$22:$F$22,1,D316)</f>
        <v>115731.2</v>
      </c>
      <c r="Q316" s="81" t="n">
        <f aca="false">('W Site Costs'!$X$6+INDEX('W Sites'!$F$65:$F$76,MONTH(C316),1)*'W Site Costs'!$Y$6)*F316*(1+'W Sites'!$D$58)^(D316-1)*INDEX('W Assumptions'!$D$17:$F$17,1,D316)</f>
        <v>27040</v>
      </c>
      <c r="R316" s="112" t="n">
        <f aca="false">L316*'W Sites'!$M$6</f>
        <v>0</v>
      </c>
      <c r="S316" s="81" t="n">
        <f aca="false">SUM(M316:R316)</f>
        <v>335296</v>
      </c>
      <c r="T316" s="81" t="n">
        <f aca="false">L316-S316</f>
        <v>261822.493333334</v>
      </c>
      <c r="U316" s="81" t="n">
        <f aca="false">IF(C316='W Budget &amp; Owners'!$I$6,'W Budget &amp; Owners'!$F$6*'W Sites'!$G$6,0)</f>
        <v>0</v>
      </c>
      <c r="V316" s="81" t="n">
        <f aca="false">'W Sites'!$G$6*'W Budget &amp; Owners'!$E$6*INDEX('W Assumptions'!$D$27:$F$27,1,D316)*(IF(C316='W Budget &amp; Owners'!$I$6,'W Assumptions'!$D$65,0)+IF(C316=DATE(YEAR('W Sites'!$F$6),MONTH('W Sites'!$F$6),1),1-'W Assumptions'!$D$65,0))+'W Sites'!$G$6*'W Budget &amp; Owners'!$E$6*IF(C316=DATE(2027,9,1),'W Assumptions'!$D$67,IF(C316=DATE(2028,9,1),'W Assumptions'!$D$69,0))</f>
        <v>0</v>
      </c>
      <c r="W316" s="81" t="n">
        <f aca="false">IF(((YEAR(C316)-YEAR('W Sites'!$F$6))*12+MONTH(C316)-MONTH('W Sites'!$F$6))&lt;'W Budget &amp; Owners'!$H$6,'W Budget &amp; Owners'!$E$6/'W Budget &amp; Owners'!$H$6*F316,0)+IF(C316&gt;=DATE(2027,9,1),'W Budget &amp; Owners'!$E$6*'W Assumptions'!$D$67/'W Budget &amp; Owners'!$H$6*F316,0)+IF(C316&gt;=DATE(2028,9,1),'W Budget &amp; Owners'!$E$6*'W Assumptions'!$D$69/'W Budget &amp; Owners'!$H$6*F316,0)</f>
        <v>6125</v>
      </c>
      <c r="X316" s="81" t="n">
        <f aca="false">IF(C316='W Budget &amp; Owners'!$I$6,'W Budget &amp; Owners'!$G$6*'W Sites'!$G$6,0)</f>
        <v>0</v>
      </c>
      <c r="Y316" s="112" t="n">
        <f aca="false">IF(SUM($G$316:$G$325)=0,0,'W Fees &amp; KPI'!$Q$37*G316/SUM($G$316:$G$325))</f>
        <v>4597.31972900865</v>
      </c>
      <c r="Z316" s="119" t="n">
        <f aca="false">IF(SUM($G$316:$G$325)=0,0,SUM('W Fees &amp; KPI'!$J$37,'W Fees &amp; KPI'!$M$37)*G316/SUM($G$316:$G$325))</f>
        <v>5223.75</v>
      </c>
      <c r="AA316" s="117" t="n">
        <f aca="false">T316-U316-Z316-Y316</f>
        <v>252001.423604325</v>
      </c>
      <c r="AB316" s="119" t="n">
        <f aca="false">IF('W Fees &amp; KPI'!$D$37=0,0,T316-U316-Z316)</f>
        <v>256598.743333334</v>
      </c>
    </row>
    <row r="317" customFormat="false" ht="21" hidden="false" customHeight="true" outlineLevel="0" collapsed="false">
      <c r="C317" s="144" t="n">
        <f aca="false">47209</f>
        <v>47209</v>
      </c>
      <c r="D317" s="81" t="n">
        <f aca="false">3</f>
        <v>3</v>
      </c>
      <c r="E317" s="81" t="str">
        <f aca="false">'W Sites'!C7</f>
        <v>S02</v>
      </c>
      <c r="F317" s="145" t="n">
        <f aca="false">'W Sites'!$G$7*MAX(0,EOMONTH(C317,0)-MAX(C317,'W Sites'!$F$7)+1)/DAY(EOMONTH(C317,0))</f>
        <v>1</v>
      </c>
      <c r="G317" s="145" t="n">
        <f aca="false">'W Sites'!$G$7*MAX(0,EOMONTH(C317,0)-MAX(C317,'W Sites'!$F$7,'W Assumptions'!$D$58)+1)/DAY(EOMONTH(C317,0))</f>
        <v>1</v>
      </c>
      <c r="H317" s="81" t="n">
        <f aca="false">'W Sites'!$H$7*F317*'W Sites'!$I$7*IF(((YEAR(C317)-YEAR('W Sites'!$F$7))*12+MONTH(C317)-MONTH('W Sites'!$F$7))=0,'W Assumptions'!$D$62,IF(((YEAR(C317)-YEAR('W Sites'!$F$7))*12+MONTH(C317)-MONTH('W Sites'!$F$7))=1,'W Assumptions'!$D$63,1))*INDEX('W Assumptions'!$D$7:$F$7,1,D317)*INDEX('W Assumptions'!$D$32:$F$32,1,D317)*INDEX('W Assumptions'!$D$80:$D$91,MONTH(C317),1)/AVERAGE('W Assumptions'!$D$80:$D$91)</f>
        <v>2619.54</v>
      </c>
      <c r="I317" s="81" t="n">
        <f aca="false">H317*'W Sites'!$J$7/(1+'W Assumptions'!$D$39)*INDEX('W Assumptions'!$D$12:$F$12,1,D317)*INDEX('W Assumptions'!$D$33:$F$33,1,D317)</f>
        <v>84580.3908782609</v>
      </c>
      <c r="J317" s="81" t="n">
        <f aca="false">H317*'W Sites'!$K$7/(1+'W Assumptions'!$D$39)*INDEX('W Assumptions'!$D$12:$F$12,1,D317)*INDEX('W Assumptions'!$D$33:$F$33,1,D317)</f>
        <v>7249.74778956522</v>
      </c>
      <c r="K317" s="81" t="n">
        <f aca="false">'W Sites'!$L$7*F317*IF(((YEAR(C317)-YEAR('W Sites'!$F$7))*12+MONTH(C317)-MONTH('W Sites'!$F$7))=0,'W Assumptions'!$D$62,IF(((YEAR(C317)-YEAR('W Sites'!$F$7))*12+MONTH(C317)-MONTH('W Sites'!$F$7))=1,'W Assumptions'!$D$63,1))*INDEX('W Assumptions'!$D$7:$F$7,1,D317)*INDEX('W Assumptions'!$D$32:$F$32,1,D317)</f>
        <v>5940</v>
      </c>
      <c r="L317" s="81" t="n">
        <f aca="false">SUM(I317:K317)</f>
        <v>97770.1386678261</v>
      </c>
      <c r="M317" s="81" t="n">
        <f aca="false">'W Site Costs'!$I$7*F317*INDEX('W Assumptions'!$D$34:$F$34,1,D317)*INDEX('W Assumptions'!$D$22:$F$22,1,D317)</f>
        <v>35776.125</v>
      </c>
      <c r="N317" s="81" t="n">
        <f aca="false">'W Site Costs'!$J$7*F317*INDEX('W Assumptions'!$D$35:$F$35,1,D317)*INDEX('W Assumptions'!$D$22:$F$22,1,D317)</f>
        <v>0</v>
      </c>
      <c r="O317" s="81" t="n">
        <f aca="false">L317*'W Site Costs'!$K$7</f>
        <v>14665.5208001739</v>
      </c>
      <c r="P317" s="81" t="n">
        <f aca="false">SUM('W Site Costs'!$L$7:$Q$7)*F317*INDEX('W Assumptions'!$D$35:$F$35,1,D317)*INDEX('W Assumptions'!$D$22:$F$22,1,D317)</f>
        <v>12654.72</v>
      </c>
      <c r="Q317" s="81" t="n">
        <f aca="false">L317*'W Site Costs'!$R$7*INDEX('W Assumptions'!$D$17:$F$17,1,D317)</f>
        <v>5866.20832006956</v>
      </c>
      <c r="R317" s="112" t="n">
        <f aca="false">L317*'W Sites'!$M$7</f>
        <v>0</v>
      </c>
      <c r="S317" s="81" t="n">
        <f aca="false">SUM(M317:R317)</f>
        <v>68962.5741202435</v>
      </c>
      <c r="T317" s="81" t="n">
        <f aca="false">L317-S317</f>
        <v>28807.5645475826</v>
      </c>
      <c r="U317" s="81" t="n">
        <f aca="false">IF(C317='W Budget &amp; Owners'!$I$7,'W Budget &amp; Owners'!$F$7*'W Sites'!$G$7,0)</f>
        <v>0</v>
      </c>
      <c r="V317" s="81" t="n">
        <f aca="false">'W Sites'!$G$7*'W Budget &amp; Owners'!$E$7*INDEX('W Assumptions'!$D$27:$F$27,1,D317)*(IF(C317='W Budget &amp; Owners'!$I$7,'W Assumptions'!$D$65,0)+IF(C317=DATE(YEAR('W Sites'!$F$7),MONTH('W Sites'!$F$7),1),1-'W Assumptions'!$D$65,0))+'W Sites'!$G$7*'W Budget &amp; Owners'!$E$7*IF(C317=DATE(2027,9,1),'W Assumptions'!$D$67,IF(C317=DATE(2028,9,1),'W Assumptions'!$D$69,0))</f>
        <v>0</v>
      </c>
      <c r="W317" s="81" t="n">
        <f aca="false">IF(((YEAR(C317)-YEAR('W Sites'!$F$7))*12+MONTH(C317)-MONTH('W Sites'!$F$7))&lt;'W Budget &amp; Owners'!$H$7,'W Budget &amp; Owners'!$E$7/'W Budget &amp; Owners'!$H$7*F317,0)+IF(C317&gt;=DATE(2027,9,1),'W Budget &amp; Owners'!$E$7*'W Assumptions'!$D$67/'W Budget &amp; Owners'!$H$7*F317,0)+IF(C317&gt;=DATE(2028,9,1),'W Budget &amp; Owners'!$E$7*'W Assumptions'!$D$69/'W Budget &amp; Owners'!$H$7*F317,0)</f>
        <v>1400</v>
      </c>
      <c r="X317" s="81" t="n">
        <f aca="false">IF(C317='W Budget &amp; Owners'!$I$7,'W Budget &amp; Owners'!$G$7*'W Sites'!$G$7,0)</f>
        <v>0</v>
      </c>
      <c r="Y317" s="112" t="n">
        <f aca="false">IF(SUM($G$316:$G$325)=0,0,'W Fees &amp; KPI'!$Q$37*G317/SUM($G$316:$G$325))</f>
        <v>4597.31972900865</v>
      </c>
      <c r="Z317" s="119" t="n">
        <f aca="false">IF(SUM($G$316:$G$325)=0,0,SUM('W Fees &amp; KPI'!$J$37,'W Fees &amp; KPI'!$M$37)*G317/SUM($G$316:$G$325))</f>
        <v>5223.75</v>
      </c>
      <c r="AA317" s="117" t="n">
        <f aca="false">T317-U317-Z317-Y317</f>
        <v>18986.494818574</v>
      </c>
      <c r="AB317" s="119" t="n">
        <f aca="false">IF('W Fees &amp; KPI'!$D$37=0,0,T317-U317-Z317)</f>
        <v>23583.8145475826</v>
      </c>
    </row>
    <row r="318" customFormat="false" ht="21" hidden="false" customHeight="true" outlineLevel="0" collapsed="false">
      <c r="C318" s="144" t="n">
        <f aca="false">47209</f>
        <v>47209</v>
      </c>
      <c r="D318" s="81" t="n">
        <f aca="false">3</f>
        <v>3</v>
      </c>
      <c r="E318" s="81" t="str">
        <f aca="false">'W Sites'!C8</f>
        <v>S03</v>
      </c>
      <c r="F318" s="145" t="n">
        <f aca="false">'W Sites'!$G$8*MAX(0,EOMONTH(C318,0)-MAX(C318,'W Sites'!$F$8)+1)/DAY(EOMONTH(C318,0))</f>
        <v>1</v>
      </c>
      <c r="G318" s="145" t="n">
        <f aca="false">'W Sites'!$G$8*MAX(0,EOMONTH(C318,0)-MAX(C318,'W Sites'!$F$8,'W Assumptions'!$D$58)+1)/DAY(EOMONTH(C318,0))</f>
        <v>1</v>
      </c>
      <c r="H318" s="81" t="n">
        <f aca="false">'W Sites'!$H$8*F318*'W Sites'!$I$8*IF(((YEAR(C318)-YEAR('W Sites'!$F$8))*12+MONTH(C318)-MONTH('W Sites'!$F$8))=0,'W Assumptions'!$D$62,IF(((YEAR(C318)-YEAR('W Sites'!$F$8))*12+MONTH(C318)-MONTH('W Sites'!$F$8))=1,'W Assumptions'!$D$63,1))*INDEX('W Assumptions'!$D$7:$F$7,1,D318)*INDEX('W Assumptions'!$D$32:$F$32,1,D318)*INDEX('W Assumptions'!$D$80:$D$91,MONTH(C318),1)/AVERAGE('W Assumptions'!$D$80:$D$91)</f>
        <v>3537.14794520548</v>
      </c>
      <c r="I318" s="81" t="n">
        <f aca="false">H318*'W Sites'!$J$8/(1+'W Assumptions'!$D$39)*INDEX('W Assumptions'!$D$12:$F$12,1,D318)*INDEX('W Assumptions'!$D$33:$F$33,1,D318)</f>
        <v>212101.231808219</v>
      </c>
      <c r="J318" s="81" t="n">
        <f aca="false">H318*'W Sites'!$K$8/(1+'W Assumptions'!$D$39)*INDEX('W Assumptions'!$D$12:$F$12,1,D318)*INDEX('W Assumptions'!$D$33:$F$33,1,D318)</f>
        <v>26104.7669917808</v>
      </c>
      <c r="K318" s="81" t="n">
        <f aca="false">'W Sites'!$L$8*F318*IF(((YEAR(C318)-YEAR('W Sites'!$F$8))*12+MONTH(C318)-MONTH('W Sites'!$F$8))=0,'W Assumptions'!$D$62,IF(((YEAR(C318)-YEAR('W Sites'!$F$8))*12+MONTH(C318)-MONTH('W Sites'!$F$8))=1,'W Assumptions'!$D$63,1))*INDEX('W Assumptions'!$D$7:$F$7,1,D318)*INDEX('W Assumptions'!$D$32:$F$32,1,D318)</f>
        <v>23760</v>
      </c>
      <c r="L318" s="81" t="n">
        <f aca="false">SUM(I318:K318)</f>
        <v>261965.9988</v>
      </c>
      <c r="M318" s="81" t="n">
        <f aca="false">'W Site Costs'!$I$8*F318*INDEX('W Assumptions'!$D$34:$F$34,1,D318)*INDEX('W Assumptions'!$D$22:$F$22,1,D318)</f>
        <v>52948.665</v>
      </c>
      <c r="N318" s="81" t="n">
        <f aca="false">'W Site Costs'!$J$8*F318*INDEX('W Assumptions'!$D$35:$F$35,1,D318)*INDEX('W Assumptions'!$D$22:$F$22,1,D318)</f>
        <v>37856</v>
      </c>
      <c r="O318" s="81" t="n">
        <f aca="false">L318*'W Site Costs'!$K$8</f>
        <v>0</v>
      </c>
      <c r="P318" s="81" t="n">
        <f aca="false">SUM('W Site Costs'!$L$8:$Q$8)*F318*INDEX('W Assumptions'!$D$35:$F$35,1,D318)*INDEX('W Assumptions'!$D$22:$F$22,1,D318)</f>
        <v>21091.2</v>
      </c>
      <c r="Q318" s="81" t="n">
        <f aca="false">L318*'W Site Costs'!$R$8*INDEX('W Assumptions'!$D$17:$F$17,1,D318)</f>
        <v>20957.279904</v>
      </c>
      <c r="R318" s="112" t="n">
        <f aca="false">L318*'W Sites'!$M$8</f>
        <v>0</v>
      </c>
      <c r="S318" s="81" t="n">
        <f aca="false">SUM(M318:R318)</f>
        <v>132853.144904</v>
      </c>
      <c r="T318" s="81" t="n">
        <f aca="false">L318-S318</f>
        <v>129112.853896</v>
      </c>
      <c r="U318" s="81" t="n">
        <f aca="false">IF(C318='W Budget &amp; Owners'!$I$8,'W Budget &amp; Owners'!$F$8*'W Sites'!$G$8,0)</f>
        <v>0</v>
      </c>
      <c r="V318" s="81" t="n">
        <f aca="false">'W Sites'!$G$8*'W Budget &amp; Owners'!$E$8*INDEX('W Assumptions'!$D$27:$F$27,1,D318)*(IF(C318='W Budget &amp; Owners'!$I$8,'W Assumptions'!$D$65,0)+IF(C318=DATE(YEAR('W Sites'!$F$8),MONTH('W Sites'!$F$8),1),1-'W Assumptions'!$D$65,0))+'W Sites'!$G$8*'W Budget &amp; Owners'!$E$8*IF(C318=DATE(2027,9,1),'W Assumptions'!$D$67,IF(C318=DATE(2028,9,1),'W Assumptions'!$D$69,0))</f>
        <v>0</v>
      </c>
      <c r="W318" s="81" t="n">
        <f aca="false">IF(((YEAR(C318)-YEAR('W Sites'!$F$8))*12+MONTH(C318)-MONTH('W Sites'!$F$8))&lt;'W Budget &amp; Owners'!$H$8,'W Budget &amp; Owners'!$E$8/'W Budget &amp; Owners'!$H$8*F318,0)+IF(C318&gt;=DATE(2027,9,1),'W Budget &amp; Owners'!$E$8*'W Assumptions'!$D$67/'W Budget &amp; Owners'!$H$8*F318,0)+IF(C318&gt;=DATE(2028,9,1),'W Budget &amp; Owners'!$E$8*'W Assumptions'!$D$69/'W Budget &amp; Owners'!$H$8*F318,0)</f>
        <v>10500</v>
      </c>
      <c r="X318" s="81" t="n">
        <f aca="false">IF(C318='W Budget &amp; Owners'!$I$8,'W Budget &amp; Owners'!$G$8*'W Sites'!$G$8,0)</f>
        <v>0</v>
      </c>
      <c r="Y318" s="112" t="n">
        <f aca="false">IF(SUM($G$316:$G$325)=0,0,'W Fees &amp; KPI'!$Q$37*G318/SUM($G$316:$G$325))</f>
        <v>4597.31972900865</v>
      </c>
      <c r="Z318" s="119" t="n">
        <f aca="false">IF(SUM($G$316:$G$325)=0,0,SUM('W Fees &amp; KPI'!$J$37,'W Fees &amp; KPI'!$M$37)*G318/SUM($G$316:$G$325))</f>
        <v>5223.75</v>
      </c>
      <c r="AA318" s="117" t="n">
        <f aca="false">T318-U318-Z318-Y318</f>
        <v>119291.784166991</v>
      </c>
      <c r="AB318" s="119" t="n">
        <f aca="false">IF('W Fees &amp; KPI'!$D$37=0,0,T318-U318-Z318)</f>
        <v>123889.103896</v>
      </c>
    </row>
    <row r="319" customFormat="false" ht="21" hidden="false" customHeight="true" outlineLevel="0" collapsed="false">
      <c r="C319" s="144" t="n">
        <f aca="false">47209</f>
        <v>47209</v>
      </c>
      <c r="D319" s="81" t="n">
        <f aca="false">3</f>
        <v>3</v>
      </c>
      <c r="E319" s="81" t="str">
        <f aca="false">'W Sites'!C9</f>
        <v>S04</v>
      </c>
      <c r="F319" s="145" t="n">
        <f aca="false">'W Sites'!$G$9*MAX(0,EOMONTH(C319,0)-MAX(C319,'W Sites'!$F$9)+1)/DAY(EOMONTH(C319,0))</f>
        <v>1</v>
      </c>
      <c r="G319" s="145" t="n">
        <f aca="false">'W Sites'!$G$9*MAX(0,EOMONTH(C319,0)-MAX(C319,'W Sites'!$F$9,'W Assumptions'!$D$58)+1)/DAY(EOMONTH(C319,0))</f>
        <v>1</v>
      </c>
      <c r="H319" s="81" t="n">
        <f aca="false">'W Sites'!$H$9*F319*'W Sites'!$I$9*IF(((YEAR(C319)-YEAR('W Sites'!$F$9))*12+MONTH(C319)-MONTH('W Sites'!$F$9))=0,'W Assumptions'!$D$62,IF(((YEAR(C319)-YEAR('W Sites'!$F$9))*12+MONTH(C319)-MONTH('W Sites'!$F$9))=1,'W Assumptions'!$D$63,1))*INDEX('W Assumptions'!$D$7:$F$7,1,D319)*INDEX('W Assumptions'!$D$32:$F$32,1,D319)*INDEX('W Assumptions'!$D$80:$D$91,MONTH(C319),1)/AVERAGE('W Assumptions'!$D$80:$D$91)</f>
        <v>2490.46875</v>
      </c>
      <c r="I319" s="81" t="n">
        <f aca="false">H319*'W Sites'!$J$9/(1+'W Assumptions'!$D$39)*INDEX('W Assumptions'!$D$12:$F$12,1,D319)*INDEX('W Assumptions'!$D$33:$F$33,1,D319)</f>
        <v>149338.2515625</v>
      </c>
      <c r="J319" s="81" t="n">
        <f aca="false">H319*'W Sites'!$K$9/(1+'W Assumptions'!$D$39)*INDEX('W Assumptions'!$D$12:$F$12,1,D319)*INDEX('W Assumptions'!$D$33:$F$33,1,D319)</f>
        <v>16082.5809375</v>
      </c>
      <c r="K319" s="81" t="n">
        <f aca="false">'W Sites'!$L$9*F319*IF(((YEAR(C319)-YEAR('W Sites'!$F$9))*12+MONTH(C319)-MONTH('W Sites'!$F$9))=0,'W Assumptions'!$D$62,IF(((YEAR(C319)-YEAR('W Sites'!$F$9))*12+MONTH(C319)-MONTH('W Sites'!$F$9))=1,'W Assumptions'!$D$63,1))*INDEX('W Assumptions'!$D$7:$F$7,1,D319)*INDEX('W Assumptions'!$D$32:$F$32,1,D319)</f>
        <v>17820</v>
      </c>
      <c r="L319" s="81" t="n">
        <f aca="false">SUM(I319:K319)</f>
        <v>183240.8325</v>
      </c>
      <c r="M319" s="81" t="n">
        <f aca="false">'W Site Costs'!$I$9*F319*INDEX('W Assumptions'!$D$34:$F$34,1,D319)*INDEX('W Assumptions'!$D$22:$F$22,1,D319)</f>
        <v>41630.4</v>
      </c>
      <c r="N319" s="81" t="n">
        <f aca="false">'W Site Costs'!$J$9*F319*INDEX('W Assumptions'!$D$35:$F$35,1,D319)*INDEX('W Assumptions'!$D$22:$F$22,1,D319)</f>
        <v>23795.2</v>
      </c>
      <c r="O319" s="81" t="n">
        <f aca="false">L319*'W Site Costs'!$K$9</f>
        <v>0</v>
      </c>
      <c r="P319" s="81" t="n">
        <f aca="false">SUM('W Site Costs'!$L$9:$Q$9)*F319*INDEX('W Assumptions'!$D$35:$F$35,1,D319)*INDEX('W Assumptions'!$D$22:$F$22,1,D319)</f>
        <v>16764.8</v>
      </c>
      <c r="Q319" s="81" t="n">
        <f aca="false">L319*'W Site Costs'!$R$9*INDEX('W Assumptions'!$D$17:$F$17,1,D319)</f>
        <v>14659.2666</v>
      </c>
      <c r="R319" s="112" t="n">
        <f aca="false">L319*'W Sites'!$M$9</f>
        <v>0</v>
      </c>
      <c r="S319" s="81" t="n">
        <f aca="false">SUM(M319:R319)</f>
        <v>96849.6666</v>
      </c>
      <c r="T319" s="81" t="n">
        <f aca="false">L319-S319</f>
        <v>86391.1659</v>
      </c>
      <c r="U319" s="81" t="n">
        <f aca="false">IF(C319='W Budget &amp; Owners'!$I$9,'W Budget &amp; Owners'!$F$9*'W Sites'!$G$9,0)</f>
        <v>0</v>
      </c>
      <c r="V319" s="81" t="n">
        <f aca="false">'W Sites'!$G$9*'W Budget &amp; Owners'!$E$9*INDEX('W Assumptions'!$D$27:$F$27,1,D319)*(IF(C319='W Budget &amp; Owners'!$I$9,'W Assumptions'!$D$65,0)+IF(C319=DATE(YEAR('W Sites'!$F$9),MONTH('W Sites'!$F$9),1),1-'W Assumptions'!$D$65,0))+'W Sites'!$G$9*'W Budget &amp; Owners'!$E$9*IF(C319=DATE(2027,9,1),'W Assumptions'!$D$67,IF(C319=DATE(2028,9,1),'W Assumptions'!$D$69,0))</f>
        <v>0</v>
      </c>
      <c r="W319" s="81" t="n">
        <f aca="false">IF(((YEAR(C319)-YEAR('W Sites'!$F$9))*12+MONTH(C319)-MONTH('W Sites'!$F$9))&lt;'W Budget &amp; Owners'!$H$9,'W Budget &amp; Owners'!$E$9/'W Budget &amp; Owners'!$H$9*F319,0)+IF(C319&gt;=DATE(2027,9,1),'W Budget &amp; Owners'!$E$9*'W Assumptions'!$D$67/'W Budget &amp; Owners'!$H$9*F319,0)+IF(C319&gt;=DATE(2028,9,1),'W Budget &amp; Owners'!$E$9*'W Assumptions'!$D$69/'W Budget &amp; Owners'!$H$9*F319,0)</f>
        <v>8750</v>
      </c>
      <c r="X319" s="81" t="n">
        <f aca="false">IF(C319='W Budget &amp; Owners'!$I$9,'W Budget &amp; Owners'!$G$9*'W Sites'!$G$9,0)</f>
        <v>0</v>
      </c>
      <c r="Y319" s="112" t="n">
        <f aca="false">IF(SUM($G$316:$G$325)=0,0,'W Fees &amp; KPI'!$Q$37*G319/SUM($G$316:$G$325))</f>
        <v>4597.31972900865</v>
      </c>
      <c r="Z319" s="119" t="n">
        <f aca="false">IF(SUM($G$316:$G$325)=0,0,SUM('W Fees &amp; KPI'!$J$37,'W Fees &amp; KPI'!$M$37)*G319/SUM($G$316:$G$325))</f>
        <v>5223.75</v>
      </c>
      <c r="AA319" s="117" t="n">
        <f aca="false">T319-U319-Z319-Y319</f>
        <v>76570.0961709913</v>
      </c>
      <c r="AB319" s="119" t="n">
        <f aca="false">IF('W Fees &amp; KPI'!$D$37=0,0,T319-U319-Z319)</f>
        <v>81167.4159</v>
      </c>
    </row>
    <row r="320" customFormat="false" ht="21" hidden="false" customHeight="true" outlineLevel="0" collapsed="false">
      <c r="C320" s="144" t="n">
        <f aca="false">47209</f>
        <v>47209</v>
      </c>
      <c r="D320" s="81" t="n">
        <f aca="false">3</f>
        <v>3</v>
      </c>
      <c r="E320" s="81" t="str">
        <f aca="false">'W Sites'!C10</f>
        <v>S05</v>
      </c>
      <c r="F320" s="145" t="n">
        <f aca="false">'W Sites'!$G$10*MAX(0,EOMONTH(C320,0)-MAX(C320,'W Sites'!$F$10)+1)/DAY(EOMONTH(C320,0))</f>
        <v>1</v>
      </c>
      <c r="G320" s="145" t="n">
        <f aca="false">'W Sites'!$G$10*MAX(0,EOMONTH(C320,0)-MAX(C320,'W Sites'!$F$10,'W Assumptions'!$D$58)+1)/DAY(EOMONTH(C320,0))</f>
        <v>1</v>
      </c>
      <c r="H320" s="81" t="n">
        <f aca="false">'W Sites'!$H$10*F320*'W Sites'!$I$10*IF(((YEAR(C320)-YEAR('W Sites'!$F$10))*12+MONTH(C320)-MONTH('W Sites'!$F$10))=0,'W Assumptions'!$D$62,IF(((YEAR(C320)-YEAR('W Sites'!$F$10))*12+MONTH(C320)-MONTH('W Sites'!$F$10))=1,'W Assumptions'!$D$63,1))*INDEX('W Assumptions'!$D$7:$F$7,1,D320)*INDEX('W Assumptions'!$D$32:$F$32,1,D320)*INDEX('W Assumptions'!$D$80:$D$91,MONTH(C320),1)/AVERAGE('W Assumptions'!$D$80:$D$91)</f>
        <v>3183.43315068493</v>
      </c>
      <c r="I320" s="81" t="n">
        <f aca="false">H320*'W Sites'!$J$10/(1+'W Assumptions'!$D$39)*INDEX('W Assumptions'!$D$12:$F$12,1,D320)*INDEX('W Assumptions'!$D$33:$F$33,1,D320)</f>
        <v>190891.108627397</v>
      </c>
      <c r="J320" s="81" t="n">
        <f aca="false">H320*'W Sites'!$K$10/(1+'W Assumptions'!$D$39)*INDEX('W Assumptions'!$D$12:$F$12,1,D320)*INDEX('W Assumptions'!$D$33:$F$33,1,D320)</f>
        <v>23494.2902926027</v>
      </c>
      <c r="K320" s="81" t="n">
        <f aca="false">'W Sites'!$L$10*F320*IF(((YEAR(C320)-YEAR('W Sites'!$F$10))*12+MONTH(C320)-MONTH('W Sites'!$F$10))=0,'W Assumptions'!$D$62,IF(((YEAR(C320)-YEAR('W Sites'!$F$10))*12+MONTH(C320)-MONTH('W Sites'!$F$10))=1,'W Assumptions'!$D$63,1))*INDEX('W Assumptions'!$D$7:$F$7,1,D320)*INDEX('W Assumptions'!$D$32:$F$32,1,D320)</f>
        <v>21384</v>
      </c>
      <c r="L320" s="81" t="n">
        <f aca="false">SUM(I320:K320)</f>
        <v>235769.39892</v>
      </c>
      <c r="M320" s="81" t="n">
        <f aca="false">'W Site Costs'!$I$10*F320*INDEX('W Assumptions'!$D$34:$F$34,1,D320)*INDEX('W Assumptions'!$D$22:$F$22,1,D320)</f>
        <v>52948.665</v>
      </c>
      <c r="N320" s="81" t="n">
        <f aca="false">'W Site Costs'!$J$10*F320*INDEX('W Assumptions'!$D$35:$F$35,1,D320)*INDEX('W Assumptions'!$D$22:$F$22,1,D320)</f>
        <v>32448</v>
      </c>
      <c r="O320" s="81" t="n">
        <f aca="false">L320*'W Site Costs'!$K$10</f>
        <v>0</v>
      </c>
      <c r="P320" s="81" t="n">
        <f aca="false">SUM('W Site Costs'!$L$10:$Q$10)*F320*INDEX('W Assumptions'!$D$35:$F$35,1,D320)*INDEX('W Assumptions'!$D$22:$F$22,1,D320)</f>
        <v>20550.4</v>
      </c>
      <c r="Q320" s="81" t="n">
        <f aca="false">L320*'W Site Costs'!$R$10*INDEX('W Assumptions'!$D$17:$F$17,1,D320)</f>
        <v>18861.5519136</v>
      </c>
      <c r="R320" s="112" t="n">
        <f aca="false">L320*'W Sites'!$M$10</f>
        <v>0</v>
      </c>
      <c r="S320" s="81" t="n">
        <f aca="false">SUM(M320:R320)</f>
        <v>124808.6169136</v>
      </c>
      <c r="T320" s="81" t="n">
        <f aca="false">L320-S320</f>
        <v>110960.7820064</v>
      </c>
      <c r="U320" s="81" t="n">
        <f aca="false">IF(C320='W Budget &amp; Owners'!$I$10,'W Budget &amp; Owners'!$F$10*'W Sites'!$G$10,0)</f>
        <v>0</v>
      </c>
      <c r="V320" s="81" t="n">
        <f aca="false">'W Sites'!$G$10*'W Budget &amp; Owners'!$E$10*INDEX('W Assumptions'!$D$27:$F$27,1,D320)*(IF(C320='W Budget &amp; Owners'!$I$10,'W Assumptions'!$D$65,0)+IF(C320=DATE(YEAR('W Sites'!$F$10),MONTH('W Sites'!$F$10),1),1-'W Assumptions'!$D$65,0))+'W Sites'!$G$10*'W Budget &amp; Owners'!$E$10*IF(C320=DATE(2027,9,1),'W Assumptions'!$D$67,IF(C320=DATE(2028,9,1),'W Assumptions'!$D$69,0))</f>
        <v>0</v>
      </c>
      <c r="W320" s="81" t="n">
        <f aca="false">IF(((YEAR(C320)-YEAR('W Sites'!$F$10))*12+MONTH(C320)-MONTH('W Sites'!$F$10))&lt;'W Budget &amp; Owners'!$H$10,'W Budget &amp; Owners'!$E$10/'W Budget &amp; Owners'!$H$10*F320,0)+IF(C320&gt;=DATE(2027,9,1),'W Budget &amp; Owners'!$E$10*'W Assumptions'!$D$67/'W Budget &amp; Owners'!$H$10*F320,0)+IF(C320&gt;=DATE(2028,9,1),'W Budget &amp; Owners'!$E$10*'W Assumptions'!$D$69/'W Budget &amp; Owners'!$H$10*F320,0)</f>
        <v>13125</v>
      </c>
      <c r="X320" s="81" t="n">
        <f aca="false">IF(C320='W Budget &amp; Owners'!$I$10,'W Budget &amp; Owners'!$G$10*'W Sites'!$G$10,0)</f>
        <v>0</v>
      </c>
      <c r="Y320" s="112" t="n">
        <f aca="false">IF(SUM($G$316:$G$325)=0,0,'W Fees &amp; KPI'!$Q$37*G320/SUM($G$316:$G$325))</f>
        <v>4597.31972900865</v>
      </c>
      <c r="Z320" s="119" t="n">
        <f aca="false">IF(SUM($G$316:$G$325)=0,0,SUM('W Fees &amp; KPI'!$J$37,'W Fees &amp; KPI'!$M$37)*G320/SUM($G$316:$G$325))</f>
        <v>5223.75</v>
      </c>
      <c r="AA320" s="117" t="n">
        <f aca="false">T320-U320-Z320-Y320</f>
        <v>101139.712277391</v>
      </c>
      <c r="AB320" s="119" t="n">
        <f aca="false">IF('W Fees &amp; KPI'!$D$37=0,0,T320-U320-Z320)</f>
        <v>105737.0320064</v>
      </c>
    </row>
    <row r="321" customFormat="false" ht="21" hidden="false" customHeight="true" outlineLevel="0" collapsed="false">
      <c r="C321" s="144" t="n">
        <f aca="false">47209</f>
        <v>47209</v>
      </c>
      <c r="D321" s="81" t="n">
        <f aca="false">3</f>
        <v>3</v>
      </c>
      <c r="E321" s="81" t="str">
        <f aca="false">'W Sites'!C11</f>
        <v>S06</v>
      </c>
      <c r="F321" s="145" t="n">
        <f aca="false">'W Sites'!$G$11*MAX(0,EOMONTH(C321,0)-MAX(C321,'W Sites'!$F$11)+1)/DAY(EOMONTH(C321,0))</f>
        <v>1</v>
      </c>
      <c r="G321" s="145" t="n">
        <f aca="false">'W Sites'!$G$11*MAX(0,EOMONTH(C321,0)-MAX(C321,'W Sites'!$F$11,'W Assumptions'!$D$58)+1)/DAY(EOMONTH(C321,0))</f>
        <v>1</v>
      </c>
      <c r="H321" s="81" t="n">
        <f aca="false">'W Sites'!$H$11*F321*'W Sites'!$I$11*IF(((YEAR(C321)-YEAR('W Sites'!$F$11))*12+MONTH(C321)-MONTH('W Sites'!$F$11))=0,'W Assumptions'!$D$62,IF(((YEAR(C321)-YEAR('W Sites'!$F$11))*12+MONTH(C321)-MONTH('W Sites'!$F$11))=1,'W Assumptions'!$D$63,1))*INDEX('W Assumptions'!$D$7:$F$7,1,D321)*INDEX('W Assumptions'!$D$32:$F$32,1,D321)*INDEX('W Assumptions'!$D$80:$D$91,MONTH(C321),1)/AVERAGE('W Assumptions'!$D$80:$D$91)</f>
        <v>972.972</v>
      </c>
      <c r="I321" s="81" t="n">
        <f aca="false">H321*'W Sites'!$J$11/(1+'W Assumptions'!$D$39)*INDEX('W Assumptions'!$D$12:$F$12,1,D321)*INDEX('W Assumptions'!$D$33:$F$33,1,D321)</f>
        <v>53855.269293913</v>
      </c>
      <c r="J321" s="81" t="n">
        <f aca="false">H321*'W Sites'!$K$11/(1+'W Assumptions'!$D$39)*INDEX('W Assumptions'!$D$12:$F$12,1,D321)*INDEX('W Assumptions'!$D$33:$F$33,1,D321)</f>
        <v>2692.76346469565</v>
      </c>
      <c r="K321" s="81" t="n">
        <f aca="false">'W Sites'!$L$11*F321*IF(((YEAR(C321)-YEAR('W Sites'!$F$11))*12+MONTH(C321)-MONTH('W Sites'!$F$11))=0,'W Assumptions'!$D$62,IF(((YEAR(C321)-YEAR('W Sites'!$F$11))*12+MONTH(C321)-MONTH('W Sites'!$F$11))=1,'W Assumptions'!$D$63,1))*INDEX('W Assumptions'!$D$7:$F$7,1,D321)*INDEX('W Assumptions'!$D$32:$F$32,1,D321)</f>
        <v>23760</v>
      </c>
      <c r="L321" s="81" t="n">
        <f aca="false">SUM(I321:K321)</f>
        <v>80308.0327586087</v>
      </c>
      <c r="M321" s="81" t="n">
        <f aca="false">'W Site Costs'!$I$11*F321*INDEX('W Assumptions'!$D$34:$F$34,1,D321)*INDEX('W Assumptions'!$D$22:$F$22,1,D321)</f>
        <v>26279.19</v>
      </c>
      <c r="N321" s="81" t="n">
        <f aca="false">'W Site Costs'!$J$11*F321*INDEX('W Assumptions'!$D$35:$F$35,1,D321)*INDEX('W Assumptions'!$D$22:$F$22,1,D321)</f>
        <v>5408</v>
      </c>
      <c r="O321" s="81" t="n">
        <f aca="false">L321*'W Site Costs'!$K$11</f>
        <v>0</v>
      </c>
      <c r="P321" s="81" t="n">
        <f aca="false">SUM('W Site Costs'!$L$11:$Q$11)*F321*INDEX('W Assumptions'!$D$35:$F$35,1,D321)*INDEX('W Assumptions'!$D$22:$F$22,1,D321)</f>
        <v>8652.8</v>
      </c>
      <c r="Q321" s="81" t="n">
        <f aca="false">L321*'W Site Costs'!$R$11*INDEX('W Assumptions'!$D$17:$F$17,1,D321)</f>
        <v>8030.80327586087</v>
      </c>
      <c r="R321" s="112" t="n">
        <f aca="false">L321*'W Sites'!$M$11</f>
        <v>0</v>
      </c>
      <c r="S321" s="81" t="n">
        <f aca="false">SUM(M321:R321)</f>
        <v>48370.7932758609</v>
      </c>
      <c r="T321" s="81" t="n">
        <f aca="false">L321-S321</f>
        <v>31937.2394827478</v>
      </c>
      <c r="U321" s="81" t="n">
        <f aca="false">IF(C321='W Budget &amp; Owners'!$I$11,'W Budget &amp; Owners'!$F$11*'W Sites'!$G$11,0)</f>
        <v>0</v>
      </c>
      <c r="V321" s="81" t="n">
        <f aca="false">'W Sites'!$G$11*'W Budget &amp; Owners'!$E$11*INDEX('W Assumptions'!$D$27:$F$27,1,D321)*(IF(C321='W Budget &amp; Owners'!$I$11,'W Assumptions'!$D$65,0)+IF(C321=DATE(YEAR('W Sites'!$F$11),MONTH('W Sites'!$F$11),1),1-'W Assumptions'!$D$65,0))+'W Sites'!$G$11*'W Budget &amp; Owners'!$E$11*IF(C321=DATE(2027,9,1),'W Assumptions'!$D$67,IF(C321=DATE(2028,9,1),'W Assumptions'!$D$69,0))</f>
        <v>0</v>
      </c>
      <c r="W321" s="81" t="n">
        <f aca="false">IF(((YEAR(C321)-YEAR('W Sites'!$F$11))*12+MONTH(C321)-MONTH('W Sites'!$F$11))&lt;'W Budget &amp; Owners'!$H$11,'W Budget &amp; Owners'!$E$11/'W Budget &amp; Owners'!$H$11*F321,0)+IF(C321&gt;=DATE(2027,9,1),'W Budget &amp; Owners'!$E$11*'W Assumptions'!$D$67/'W Budget &amp; Owners'!$H$11*F321,0)+IF(C321&gt;=DATE(2028,9,1),'W Budget &amp; Owners'!$E$11*'W Assumptions'!$D$69/'W Budget &amp; Owners'!$H$11*F321,0)</f>
        <v>2625</v>
      </c>
      <c r="X321" s="81" t="n">
        <f aca="false">IF(C321='W Budget &amp; Owners'!$I$11,'W Budget &amp; Owners'!$G$11*'W Sites'!$G$11,0)</f>
        <v>0</v>
      </c>
      <c r="Y321" s="112" t="n">
        <f aca="false">IF(SUM($G$316:$G$325)=0,0,'W Fees &amp; KPI'!$Q$37*G321/SUM($G$316:$G$325))</f>
        <v>4597.31972900865</v>
      </c>
      <c r="Z321" s="119" t="n">
        <f aca="false">IF(SUM($G$316:$G$325)=0,0,SUM('W Fees &amp; KPI'!$J$37,'W Fees &amp; KPI'!$M$37)*G321/SUM($G$316:$G$325))</f>
        <v>5223.75</v>
      </c>
      <c r="AA321" s="117" t="n">
        <f aca="false">T321-U321-Z321-Y321</f>
        <v>22116.1697537392</v>
      </c>
      <c r="AB321" s="119" t="n">
        <f aca="false">IF('W Fees &amp; KPI'!$D$37=0,0,T321-U321-Z321)</f>
        <v>26713.4894827478</v>
      </c>
    </row>
    <row r="322" customFormat="false" ht="21" hidden="false" customHeight="true" outlineLevel="0" collapsed="false">
      <c r="C322" s="144" t="n">
        <f aca="false">47209</f>
        <v>47209</v>
      </c>
      <c r="D322" s="81" t="n">
        <f aca="false">3</f>
        <v>3</v>
      </c>
      <c r="E322" s="81" t="str">
        <f aca="false">'W Sites'!C12</f>
        <v>S07</v>
      </c>
      <c r="F322" s="145" t="n">
        <f aca="false">'W Sites'!$G$12*MAX(0,EOMONTH(C322,0)-MAX(C322,'W Sites'!$F$12)+1)/DAY(EOMONTH(C322,0))</f>
        <v>1</v>
      </c>
      <c r="G322" s="145" t="n">
        <f aca="false">'W Sites'!$G$12*MAX(0,EOMONTH(C322,0)-MAX(C322,'W Sites'!$F$12,'W Assumptions'!$D$58)+1)/DAY(EOMONTH(C322,0))</f>
        <v>1</v>
      </c>
      <c r="H322" s="81" t="n">
        <f aca="false">'W Sites'!$H$12*F322*'W Sites'!$I$12*IF(((YEAR(C322)-YEAR('W Sites'!$F$12))*12+MONTH(C322)-MONTH('W Sites'!$F$12))=0,'W Assumptions'!$D$62,IF(((YEAR(C322)-YEAR('W Sites'!$F$12))*12+MONTH(C322)-MONTH('W Sites'!$F$12))=1,'W Assumptions'!$D$63,1))*INDEX('W Assumptions'!$D$7:$F$7,1,D322)*INDEX('W Assumptions'!$D$32:$F$32,1,D322)*INDEX('W Assumptions'!$D$80:$D$91,MONTH(C322),1)/AVERAGE('W Assumptions'!$D$80:$D$91)</f>
        <v>1135.134</v>
      </c>
      <c r="I322" s="81" t="n">
        <f aca="false">H322*'W Sites'!$J$12/(1+'W Assumptions'!$D$39)*INDEX('W Assumptions'!$D$12:$F$12,1,D322)*INDEX('W Assumptions'!$D$33:$F$33,1,D322)</f>
        <v>62831.1475095652</v>
      </c>
      <c r="J322" s="81" t="n">
        <f aca="false">H322*'W Sites'!$K$12/(1+'W Assumptions'!$D$39)*INDEX('W Assumptions'!$D$12:$F$12,1,D322)*INDEX('W Assumptions'!$D$33:$F$33,1,D322)</f>
        <v>3141.55737547826</v>
      </c>
      <c r="K322" s="81" t="n">
        <f aca="false">'W Sites'!$L$12*F322*IF(((YEAR(C322)-YEAR('W Sites'!$F$12))*12+MONTH(C322)-MONTH('W Sites'!$F$12))=0,'W Assumptions'!$D$62,IF(((YEAR(C322)-YEAR('W Sites'!$F$12))*12+MONTH(C322)-MONTH('W Sites'!$F$12))=1,'W Assumptions'!$D$63,1))*INDEX('W Assumptions'!$D$7:$F$7,1,D322)*INDEX('W Assumptions'!$D$32:$F$32,1,D322)</f>
        <v>21384</v>
      </c>
      <c r="L322" s="81" t="n">
        <f aca="false">SUM(I322:K322)</f>
        <v>87356.7048850435</v>
      </c>
      <c r="M322" s="81" t="n">
        <f aca="false">'W Site Costs'!$I$12*F322*INDEX('W Assumptions'!$D$34:$F$34,1,D322)*INDEX('W Assumptions'!$D$22:$F$22,1,D322)</f>
        <v>26279.19</v>
      </c>
      <c r="N322" s="81" t="n">
        <f aca="false">'W Site Costs'!$J$12*F322*INDEX('W Assumptions'!$D$35:$F$35,1,D322)*INDEX('W Assumptions'!$D$22:$F$22,1,D322)</f>
        <v>8652.8</v>
      </c>
      <c r="O322" s="81" t="n">
        <f aca="false">L322*'W Site Costs'!$K$12</f>
        <v>0</v>
      </c>
      <c r="P322" s="81" t="n">
        <f aca="false">SUM('W Site Costs'!$L$12:$Q$12)*F322*INDEX('W Assumptions'!$D$35:$F$35,1,D322)*INDEX('W Assumptions'!$D$22:$F$22,1,D322)</f>
        <v>9193.6</v>
      </c>
      <c r="Q322" s="81" t="n">
        <f aca="false">L322*'W Site Costs'!$R$12*INDEX('W Assumptions'!$D$17:$F$17,1,D322)</f>
        <v>8735.67048850435</v>
      </c>
      <c r="R322" s="112" t="n">
        <f aca="false">L322*'W Sites'!$M$12</f>
        <v>0</v>
      </c>
      <c r="S322" s="81" t="n">
        <f aca="false">SUM(M322:R322)</f>
        <v>52861.2604885044</v>
      </c>
      <c r="T322" s="81" t="n">
        <f aca="false">L322-S322</f>
        <v>34495.4443965392</v>
      </c>
      <c r="U322" s="81" t="n">
        <f aca="false">IF(C322='W Budget &amp; Owners'!$I$12,'W Budget &amp; Owners'!$F$12*'W Sites'!$G$12,0)</f>
        <v>0</v>
      </c>
      <c r="V322" s="81" t="n">
        <f aca="false">'W Sites'!$G$12*'W Budget &amp; Owners'!$E$12*INDEX('W Assumptions'!$D$27:$F$27,1,D322)*(IF(C322='W Budget &amp; Owners'!$I$12,'W Assumptions'!$D$65,0)+IF(C322=DATE(YEAR('W Sites'!$F$12),MONTH('W Sites'!$F$12),1),1-'W Assumptions'!$D$65,0))+'W Sites'!$G$12*'W Budget &amp; Owners'!$E$12*IF(C322=DATE(2027,9,1),'W Assumptions'!$D$67,IF(C322=DATE(2028,9,1),'W Assumptions'!$D$69,0))</f>
        <v>0</v>
      </c>
      <c r="W322" s="81" t="n">
        <f aca="false">IF(((YEAR(C322)-YEAR('W Sites'!$F$12))*12+MONTH(C322)-MONTH('W Sites'!$F$12))&lt;'W Budget &amp; Owners'!$H$12,'W Budget &amp; Owners'!$E$12/'W Budget &amp; Owners'!$H$12*F322,0)+IF(C322&gt;=DATE(2027,9,1),'W Budget &amp; Owners'!$E$12*'W Assumptions'!$D$67/'W Budget &amp; Owners'!$H$12*F322,0)+IF(C322&gt;=DATE(2028,9,1),'W Budget &amp; Owners'!$E$12*'W Assumptions'!$D$69/'W Budget &amp; Owners'!$H$12*F322,0)</f>
        <v>7875</v>
      </c>
      <c r="X322" s="81" t="n">
        <f aca="false">IF(C322='W Budget &amp; Owners'!$I$12,'W Budget &amp; Owners'!$G$12*'W Sites'!$G$12,0)</f>
        <v>0</v>
      </c>
      <c r="Y322" s="112" t="n">
        <f aca="false">IF(SUM($G$316:$G$325)=0,0,'W Fees &amp; KPI'!$Q$37*G322/SUM($G$316:$G$325))</f>
        <v>4597.31972900865</v>
      </c>
      <c r="Z322" s="119" t="n">
        <f aca="false">IF(SUM($G$316:$G$325)=0,0,SUM('W Fees &amp; KPI'!$J$37,'W Fees &amp; KPI'!$M$37)*G322/SUM($G$316:$G$325))</f>
        <v>5223.75</v>
      </c>
      <c r="AA322" s="117" t="n">
        <f aca="false">T322-U322-Z322-Y322</f>
        <v>24674.3746675305</v>
      </c>
      <c r="AB322" s="119" t="n">
        <f aca="false">IF('W Fees &amp; KPI'!$D$37=0,0,T322-U322-Z322)</f>
        <v>29271.6943965391</v>
      </c>
    </row>
    <row r="323" customFormat="false" ht="21" hidden="false" customHeight="true" outlineLevel="0" collapsed="false">
      <c r="C323" s="144" t="n">
        <f aca="false">47209</f>
        <v>47209</v>
      </c>
      <c r="D323" s="81" t="n">
        <f aca="false">3</f>
        <v>3</v>
      </c>
      <c r="E323" s="81" t="str">
        <f aca="false">'W Sites'!C13</f>
        <v>S08</v>
      </c>
      <c r="F323" s="145" t="n">
        <f aca="false">'W Sites'!$G$13*MAX(0,EOMONTH(C323,0)-MAX(C323,'W Sites'!$F$13)+1)/DAY(EOMONTH(C323,0))</f>
        <v>1</v>
      </c>
      <c r="G323" s="145" t="n">
        <f aca="false">'W Sites'!$G$13*MAX(0,EOMONTH(C323,0)-MAX(C323,'W Sites'!$F$13,'W Assumptions'!$D$58)+1)/DAY(EOMONTH(C323,0))</f>
        <v>1</v>
      </c>
      <c r="H323" s="81" t="n">
        <f aca="false">'W Sites'!$H$13*F323*'W Sites'!$I$13*IF(((YEAR(C323)-YEAR('W Sites'!$F$13))*12+MONTH(C323)-MONTH('W Sites'!$F$13))=0,'W Assumptions'!$D$62,IF(((YEAR(C323)-YEAR('W Sites'!$F$13))*12+MONTH(C323)-MONTH('W Sites'!$F$13))=1,'W Assumptions'!$D$63,1))*INDEX('W Assumptions'!$D$7:$F$7,1,D323)*INDEX('W Assumptions'!$D$32:$F$32,1,D323)*INDEX('W Assumptions'!$D$80:$D$91,MONTH(C323),1)/AVERAGE('W Assumptions'!$D$80:$D$91)</f>
        <v>4864.86</v>
      </c>
      <c r="I323" s="81" t="n">
        <f aca="false">H323*'W Sites'!$J$13/(1+'W Assumptions'!$D$39)*INDEX('W Assumptions'!$D$12:$F$12,1,D323)*INDEX('W Assumptions'!$D$33:$F$33,1,D323)</f>
        <v>179517.564313043</v>
      </c>
      <c r="J323" s="81" t="n">
        <f aca="false">H323*'W Sites'!$K$13/(1+'W Assumptions'!$D$39)*INDEX('W Assumptions'!$D$12:$F$12,1,D323)*INDEX('W Assumptions'!$D$33:$F$33,1,D323)</f>
        <v>22439.6955391304</v>
      </c>
      <c r="K323" s="81" t="n">
        <f aca="false">'W Sites'!$L$13*F323*IF(((YEAR(C323)-YEAR('W Sites'!$F$13))*12+MONTH(C323)-MONTH('W Sites'!$F$13))=0,'W Assumptions'!$D$62,IF(((YEAR(C323)-YEAR('W Sites'!$F$13))*12+MONTH(C323)-MONTH('W Sites'!$F$13))=1,'W Assumptions'!$D$63,1))*INDEX('W Assumptions'!$D$7:$F$7,1,D323)*INDEX('W Assumptions'!$D$32:$F$32,1,D323)</f>
        <v>17820</v>
      </c>
      <c r="L323" s="81" t="n">
        <f aca="false">SUM(I323:K323)</f>
        <v>219777.259852174</v>
      </c>
      <c r="M323" s="81" t="n">
        <f aca="false">'W Site Costs'!$I$13*F323*INDEX('W Assumptions'!$D$34:$F$34,1,D323)*INDEX('W Assumptions'!$D$22:$F$22,1,D323)</f>
        <v>58802.94</v>
      </c>
      <c r="N323" s="81" t="n">
        <f aca="false">'W Site Costs'!$J$13*F323*INDEX('W Assumptions'!$D$35:$F$35,1,D323)*INDEX('W Assumptions'!$D$22:$F$22,1,D323)</f>
        <v>0</v>
      </c>
      <c r="O323" s="81" t="n">
        <f aca="false">L323*'W Site Costs'!$K$13</f>
        <v>21977.7259852174</v>
      </c>
      <c r="P323" s="81" t="n">
        <f aca="false">SUM('W Site Costs'!$L$13:$Q$13)*F323*INDEX('W Assumptions'!$D$35:$F$35,1,D323)*INDEX('W Assumptions'!$D$22:$F$22,1,D323)</f>
        <v>27580.8</v>
      </c>
      <c r="Q323" s="81" t="n">
        <f aca="false">L323*'W Site Costs'!$R$13*INDEX('W Assumptions'!$D$17:$F$17,1,D323)</f>
        <v>17582.1807881739</v>
      </c>
      <c r="R323" s="112" t="n">
        <f aca="false">L323*'W Sites'!$M$13</f>
        <v>0</v>
      </c>
      <c r="S323" s="81" t="n">
        <f aca="false">SUM(M323:R323)</f>
        <v>125943.646773391</v>
      </c>
      <c r="T323" s="81" t="n">
        <f aca="false">L323-S323</f>
        <v>93833.6130787826</v>
      </c>
      <c r="U323" s="81" t="n">
        <f aca="false">IF(C323='W Budget &amp; Owners'!$I$13,'W Budget &amp; Owners'!$F$13*'W Sites'!$G$13,0)</f>
        <v>0</v>
      </c>
      <c r="V323" s="81" t="n">
        <f aca="false">'W Sites'!$G$13*'W Budget &amp; Owners'!$E$13*INDEX('W Assumptions'!$D$27:$F$27,1,D323)*(IF(C323='W Budget &amp; Owners'!$I$13,'W Assumptions'!$D$65,0)+IF(C323=DATE(YEAR('W Sites'!$F$13),MONTH('W Sites'!$F$13),1),1-'W Assumptions'!$D$65,0))+'W Sites'!$G$13*'W Budget &amp; Owners'!$E$13*IF(C323=DATE(2027,9,1),'W Assumptions'!$D$67,IF(C323=DATE(2028,9,1),'W Assumptions'!$D$69,0))</f>
        <v>0</v>
      </c>
      <c r="W323" s="81" t="n">
        <f aca="false">IF(((YEAR(C323)-YEAR('W Sites'!$F$13))*12+MONTH(C323)-MONTH('W Sites'!$F$13))&lt;'W Budget &amp; Owners'!$H$13,'W Budget &amp; Owners'!$E$13/'W Budget &amp; Owners'!$H$13*F323,0)+IF(C323&gt;=DATE(2027,9,1),'W Budget &amp; Owners'!$E$13*'W Assumptions'!$D$67/'W Budget &amp; Owners'!$H$13*F323,0)+IF(C323&gt;=DATE(2028,9,1),'W Budget &amp; Owners'!$E$13*'W Assumptions'!$D$69/'W Budget &amp; Owners'!$H$13*F323,0)</f>
        <v>21000</v>
      </c>
      <c r="X323" s="81" t="n">
        <f aca="false">IF(C323='W Budget &amp; Owners'!$I$13,'W Budget &amp; Owners'!$G$13*'W Sites'!$G$13,0)</f>
        <v>0</v>
      </c>
      <c r="Y323" s="112" t="n">
        <f aca="false">IF(SUM($G$316:$G$325)=0,0,'W Fees &amp; KPI'!$Q$37*G323/SUM($G$316:$G$325))</f>
        <v>4597.31972900865</v>
      </c>
      <c r="Z323" s="119" t="n">
        <f aca="false">IF(SUM($G$316:$G$325)=0,0,SUM('W Fees &amp; KPI'!$J$37,'W Fees &amp; KPI'!$M$37)*G323/SUM($G$316:$G$325))</f>
        <v>5223.75</v>
      </c>
      <c r="AA323" s="117" t="n">
        <f aca="false">T323-U323-Z323-Y323</f>
        <v>84012.5433497739</v>
      </c>
      <c r="AB323" s="119" t="n">
        <f aca="false">IF('W Fees &amp; KPI'!$D$37=0,0,T323-U323-Z323)</f>
        <v>88609.8630787826</v>
      </c>
    </row>
    <row r="324" customFormat="false" ht="21" hidden="false" customHeight="true" outlineLevel="0" collapsed="false">
      <c r="C324" s="144" t="n">
        <f aca="false">47209</f>
        <v>47209</v>
      </c>
      <c r="D324" s="81" t="n">
        <f aca="false">3</f>
        <v>3</v>
      </c>
      <c r="E324" s="81" t="str">
        <f aca="false">'W Sites'!C14</f>
        <v>S09</v>
      </c>
      <c r="F324" s="145" t="n">
        <f aca="false">'W Sites'!$G$14*MAX(0,EOMONTH(C324,0)-MAX(C324,'W Sites'!$F$14)+1)/DAY(EOMONTH(C324,0))</f>
        <v>0</v>
      </c>
      <c r="G324" s="145" t="n">
        <f aca="false">'W Sites'!$G$14*MAX(0,EOMONTH(C324,0)-MAX(C324,'W Sites'!$F$14,'W Assumptions'!$D$58)+1)/DAY(EOMONTH(C324,0))</f>
        <v>0</v>
      </c>
      <c r="H324" s="81" t="n">
        <f aca="false">'W Sites'!$H$14*F324*'W Sites'!$I$14*IF(((YEAR(C324)-YEAR('W Sites'!$F$14))*12+MONTH(C324)-MONTH('W Sites'!$F$14))=0,'W Assumptions'!$D$62,IF(((YEAR(C324)-YEAR('W Sites'!$F$14))*12+MONTH(C324)-MONTH('W Sites'!$F$14))=1,'W Assumptions'!$D$63,1))*INDEX('W Assumptions'!$D$7:$F$7,1,D324)*INDEX('W Assumptions'!$D$32:$F$32,1,D324)*INDEX('W Assumptions'!$D$80:$D$91,MONTH(C324),1)/AVERAGE('W Assumptions'!$D$80:$D$91)</f>
        <v>0</v>
      </c>
      <c r="I324" s="81" t="n">
        <f aca="false">H324*'W Sites'!$J$14/(1+'W Assumptions'!$D$39)*INDEX('W Assumptions'!$D$12:$F$12,1,D324)*INDEX('W Assumptions'!$D$33:$F$33,1,D324)</f>
        <v>0</v>
      </c>
      <c r="J324" s="81" t="n">
        <f aca="false">H324*'W Sites'!$K$14/(1+'W Assumptions'!$D$39)*INDEX('W Assumptions'!$D$12:$F$12,1,D324)*INDEX('W Assumptions'!$D$33:$F$33,1,D324)</f>
        <v>0</v>
      </c>
      <c r="K324" s="81" t="n">
        <f aca="false">'W Sites'!$L$14*F324*IF(((YEAR(C324)-YEAR('W Sites'!$F$14))*12+MONTH(C324)-MONTH('W Sites'!$F$14))=0,'W Assumptions'!$D$62,IF(((YEAR(C324)-YEAR('W Sites'!$F$14))*12+MONTH(C324)-MONTH('W Sites'!$F$14))=1,'W Assumptions'!$D$63,1))*INDEX('W Assumptions'!$D$7:$F$7,1,D324)*INDEX('W Assumptions'!$D$32:$F$32,1,D324)</f>
        <v>0</v>
      </c>
      <c r="L324" s="81" t="n">
        <f aca="false">SUM(I324:K324)</f>
        <v>0</v>
      </c>
      <c r="M324" s="81" t="n">
        <f aca="false">'W Site Costs'!$I$14*F324*INDEX('W Assumptions'!$D$34:$F$34,1,D324)*INDEX('W Assumptions'!$D$22:$F$22,1,D324)</f>
        <v>0</v>
      </c>
      <c r="N324" s="81" t="n">
        <f aca="false">'W Site Costs'!$J$14*F324*INDEX('W Assumptions'!$D$35:$F$35,1,D324)*INDEX('W Assumptions'!$D$22:$F$22,1,D324)</f>
        <v>0</v>
      </c>
      <c r="O324" s="81" t="n">
        <f aca="false">L324*'W Site Costs'!$K$14</f>
        <v>0</v>
      </c>
      <c r="P324" s="81" t="n">
        <f aca="false">SUM('W Site Costs'!$L$14:$Q$14)*F324*INDEX('W Assumptions'!$D$35:$F$35,1,D324)*INDEX('W Assumptions'!$D$22:$F$22,1,D324)</f>
        <v>0</v>
      </c>
      <c r="Q324" s="81" t="n">
        <f aca="false">L324*'W Site Costs'!$R$14*INDEX('W Assumptions'!$D$17:$F$17,1,D324)</f>
        <v>0</v>
      </c>
      <c r="R324" s="112" t="n">
        <f aca="false">L324*'W Sites'!$M$14</f>
        <v>0</v>
      </c>
      <c r="S324" s="81" t="n">
        <f aca="false">SUM(M324:R324)</f>
        <v>0</v>
      </c>
      <c r="T324" s="81" t="n">
        <f aca="false">L324-S324</f>
        <v>0</v>
      </c>
      <c r="U324" s="81" t="n">
        <f aca="false">IF(C324='W Budget &amp; Owners'!$I$14,'W Budget &amp; Owners'!$F$14*'W Sites'!$G$14,0)</f>
        <v>0</v>
      </c>
      <c r="V324" s="81" t="n">
        <f aca="false">'W Sites'!$G$14*'W Budget &amp; Owners'!$E$14*INDEX('W Assumptions'!$D$27:$F$27,1,D324)*(IF(C324='W Budget &amp; Owners'!$I$14,'W Assumptions'!$D$65,0)+IF(C324=DATE(YEAR('W Sites'!$F$14),MONTH('W Sites'!$F$14),1),1-'W Assumptions'!$D$65,0))+'W Sites'!$G$14*'W Budget &amp; Owners'!$E$14*IF(C324=DATE(2027,9,1),'W Assumptions'!$D$67,IF(C324=DATE(2028,9,1),'W Assumptions'!$D$69,0))</f>
        <v>0</v>
      </c>
      <c r="W324" s="81" t="n">
        <f aca="false">IF(((YEAR(C324)-YEAR('W Sites'!$F$14))*12+MONTH(C324)-MONTH('W Sites'!$F$14))&lt;'W Budget &amp; Owners'!$H$14,'W Budget &amp; Owners'!$E$14/'W Budget &amp; Owners'!$H$14*F324,0)+IF(C324&gt;=DATE(2027,9,1),'W Budget &amp; Owners'!$E$14*'W Assumptions'!$D$67/'W Budget &amp; Owners'!$H$14*F324,0)+IF(C324&gt;=DATE(2028,9,1),'W Budget &amp; Owners'!$E$14*'W Assumptions'!$D$69/'W Budget &amp; Owners'!$H$14*F324,0)</f>
        <v>0</v>
      </c>
      <c r="X324" s="81" t="n">
        <f aca="false">IF(C324='W Budget &amp; Owners'!$I$14,'W Budget &amp; Owners'!$G$14*'W Sites'!$G$14,0)</f>
        <v>0</v>
      </c>
      <c r="Y324" s="112" t="n">
        <f aca="false">IF(SUM($G$316:$G$325)=0,0,'W Fees &amp; KPI'!$Q$37*G324/SUM($G$316:$G$325))</f>
        <v>0</v>
      </c>
      <c r="Z324" s="119" t="n">
        <f aca="false">IF(SUM($G$316:$G$325)=0,0,SUM('W Fees &amp; KPI'!$J$37,'W Fees &amp; KPI'!$M$37)*G324/SUM($G$316:$G$325))</f>
        <v>0</v>
      </c>
      <c r="AA324" s="117" t="n">
        <f aca="false">T324-U324-Z324-Y324</f>
        <v>0</v>
      </c>
      <c r="AB324" s="119" t="n">
        <f aca="false">IF('W Fees &amp; KPI'!$D$37=0,0,T324-U324-Z324)</f>
        <v>0</v>
      </c>
    </row>
    <row r="325" customFormat="false" ht="21" hidden="false" customHeight="true" outlineLevel="0" collapsed="false">
      <c r="C325" s="144" t="n">
        <f aca="false">47209</f>
        <v>47209</v>
      </c>
      <c r="D325" s="81" t="n">
        <f aca="false">3</f>
        <v>3</v>
      </c>
      <c r="E325" s="81" t="str">
        <f aca="false">'W Sites'!C15</f>
        <v>S10</v>
      </c>
      <c r="F325" s="145" t="n">
        <f aca="false">'W Sites'!$G$15*MAX(0,EOMONTH(C325,0)-MAX(C325,'W Sites'!$F$15)+1)/DAY(EOMONTH(C325,0))</f>
        <v>0</v>
      </c>
      <c r="G325" s="145" t="n">
        <f aca="false">'W Sites'!$G$15*MAX(0,EOMONTH(C325,0)-MAX(C325,'W Sites'!$F$15,'W Assumptions'!$D$58)+1)/DAY(EOMONTH(C325,0))</f>
        <v>0</v>
      </c>
      <c r="H325" s="81" t="n">
        <f aca="false">'W Sites'!$H$15*F325*'W Sites'!$I$15*IF(((YEAR(C325)-YEAR('W Sites'!$F$15))*12+MONTH(C325)-MONTH('W Sites'!$F$15))=0,'W Assumptions'!$D$62,IF(((YEAR(C325)-YEAR('W Sites'!$F$15))*12+MONTH(C325)-MONTH('W Sites'!$F$15))=1,'W Assumptions'!$D$63,1))*INDEX('W Assumptions'!$D$7:$F$7,1,D325)*INDEX('W Assumptions'!$D$32:$F$32,1,D325)*INDEX('W Assumptions'!$D$80:$D$91,MONTH(C325),1)/AVERAGE('W Assumptions'!$D$80:$D$91)</f>
        <v>0</v>
      </c>
      <c r="I325" s="81" t="n">
        <f aca="false">H325*'W Sites'!$J$15/(1+'W Assumptions'!$D$39)*INDEX('W Assumptions'!$D$12:$F$12,1,D325)*INDEX('W Assumptions'!$D$33:$F$33,1,D325)</f>
        <v>0</v>
      </c>
      <c r="J325" s="81" t="n">
        <f aca="false">H325*'W Sites'!$K$15/(1+'W Assumptions'!$D$39)*INDEX('W Assumptions'!$D$12:$F$12,1,D325)*INDEX('W Assumptions'!$D$33:$F$33,1,D325)</f>
        <v>0</v>
      </c>
      <c r="K325" s="81" t="n">
        <f aca="false">'W Sites'!$L$15*F325*IF(((YEAR(C325)-YEAR('W Sites'!$F$15))*12+MONTH(C325)-MONTH('W Sites'!$F$15))=0,'W Assumptions'!$D$62,IF(((YEAR(C325)-YEAR('W Sites'!$F$15))*12+MONTH(C325)-MONTH('W Sites'!$F$15))=1,'W Assumptions'!$D$63,1))*INDEX('W Assumptions'!$D$7:$F$7,1,D325)*INDEX('W Assumptions'!$D$32:$F$32,1,D325)</f>
        <v>0</v>
      </c>
      <c r="L325" s="81" t="n">
        <f aca="false">SUM(I325:K325)</f>
        <v>0</v>
      </c>
      <c r="M325" s="81" t="n">
        <f aca="false">'W Site Costs'!$I$15*F325*INDEX('W Assumptions'!$D$34:$F$34,1,D325)*INDEX('W Assumptions'!$D$22:$F$22,1,D325)</f>
        <v>0</v>
      </c>
      <c r="N325" s="81" t="n">
        <f aca="false">'W Site Costs'!$J$15*F325*INDEX('W Assumptions'!$D$35:$F$35,1,D325)*INDEX('W Assumptions'!$D$22:$F$22,1,D325)</f>
        <v>0</v>
      </c>
      <c r="O325" s="81" t="n">
        <f aca="false">L325*'W Site Costs'!$K$15</f>
        <v>0</v>
      </c>
      <c r="P325" s="81" t="n">
        <f aca="false">SUM('W Site Costs'!$L$15:$Q$15)*F325*INDEX('W Assumptions'!$D$35:$F$35,1,D325)*INDEX('W Assumptions'!$D$22:$F$22,1,D325)</f>
        <v>0</v>
      </c>
      <c r="Q325" s="81" t="n">
        <f aca="false">L325*'W Site Costs'!$R$15*INDEX('W Assumptions'!$D$17:$F$17,1,D325)</f>
        <v>0</v>
      </c>
      <c r="R325" s="112" t="n">
        <f aca="false">L325*'W Sites'!$M$15</f>
        <v>0</v>
      </c>
      <c r="S325" s="81" t="n">
        <f aca="false">SUM(M325:R325)</f>
        <v>0</v>
      </c>
      <c r="T325" s="81" t="n">
        <f aca="false">L325-S325</f>
        <v>0</v>
      </c>
      <c r="U325" s="81" t="n">
        <f aca="false">IF(C325='W Budget &amp; Owners'!$I$15,'W Budget &amp; Owners'!$F$15*'W Sites'!$G$15,0)</f>
        <v>0</v>
      </c>
      <c r="V325" s="81" t="n">
        <f aca="false">'W Sites'!$G$15*'W Budget &amp; Owners'!$E$15*INDEX('W Assumptions'!$D$27:$F$27,1,D325)*(IF(C325='W Budget &amp; Owners'!$I$15,'W Assumptions'!$D$65,0)+IF(C325=DATE(YEAR('W Sites'!$F$15),MONTH('W Sites'!$F$15),1),1-'W Assumptions'!$D$65,0))+'W Sites'!$G$15*'W Budget &amp; Owners'!$E$15*IF(C325=DATE(2027,9,1),'W Assumptions'!$D$67,IF(C325=DATE(2028,9,1),'W Assumptions'!$D$69,0))</f>
        <v>0</v>
      </c>
      <c r="W325" s="81" t="n">
        <f aca="false">IF(((YEAR(C325)-YEAR('W Sites'!$F$15))*12+MONTH(C325)-MONTH('W Sites'!$F$15))&lt;'W Budget &amp; Owners'!$H$15,'W Budget &amp; Owners'!$E$15/'W Budget &amp; Owners'!$H$15*F325,0)+IF(C325&gt;=DATE(2027,9,1),'W Budget &amp; Owners'!$E$15*'W Assumptions'!$D$67/'W Budget &amp; Owners'!$H$15*F325,0)+IF(C325&gt;=DATE(2028,9,1),'W Budget &amp; Owners'!$E$15*'W Assumptions'!$D$69/'W Budget &amp; Owners'!$H$15*F325,0)</f>
        <v>0</v>
      </c>
      <c r="X325" s="81" t="n">
        <f aca="false">IF(C325='W Budget &amp; Owners'!$I$15,'W Budget &amp; Owners'!$G$15*'W Sites'!$G$15,0)</f>
        <v>0</v>
      </c>
      <c r="Y325" s="112" t="n">
        <f aca="false">IF(SUM($G$316:$G$325)=0,0,'W Fees &amp; KPI'!$Q$37*G325/SUM($G$316:$G$325))</f>
        <v>0</v>
      </c>
      <c r="Z325" s="119" t="n">
        <f aca="false">IF(SUM($G$316:$G$325)=0,0,SUM('W Fees &amp; KPI'!$J$37,'W Fees &amp; KPI'!$M$37)*G325/SUM($G$316:$G$325))</f>
        <v>0</v>
      </c>
      <c r="AA325" s="117" t="n">
        <f aca="false">T325-U325-Z325-Y325</f>
        <v>0</v>
      </c>
      <c r="AB325" s="119" t="n">
        <f aca="false">IF('W Fees &amp; KPI'!$D$37=0,0,T325-U325-Z325)</f>
        <v>0</v>
      </c>
    </row>
    <row r="326" customFormat="false" ht="21" hidden="false" customHeight="true" outlineLevel="0" collapsed="false">
      <c r="C326" s="144" t="n">
        <f aca="false">47239</f>
        <v>47239</v>
      </c>
      <c r="D326" s="81" t="n">
        <f aca="false">3</f>
        <v>3</v>
      </c>
      <c r="E326" s="81" t="str">
        <f aca="false">'W Sites'!C6</f>
        <v>S01</v>
      </c>
      <c r="F326" s="145" t="n">
        <f aca="false">'W Sites'!$G$6*MAX(0,EOMONTH(C326,0)-MAX(C326,'W Sites'!$F$6)+1)/DAY(EOMONTH(C326,0))</f>
        <v>1</v>
      </c>
      <c r="G326" s="145" t="n">
        <f aca="false">'W Sites'!$G$6*MAX(0,EOMONTH(C326,0)-MAX(C326,'W Sites'!$F$6,'W Assumptions'!$D$58)+1)/DAY(EOMONTH(C326,0))</f>
        <v>1</v>
      </c>
      <c r="H326" s="81" t="n">
        <f aca="false">'W Sites'!$D$45*INDEX('W Sites'!$E$65:$E$76,MONTH(C326),1)/SUM('W Sites'!$E$65:$E$76)*F326*(1+'W Sites'!$D$56)^(D326-1)*INDEX('W Assumptions'!$D$7:$F$7,1,D326)</f>
        <v>3292.148</v>
      </c>
      <c r="I326" s="81" t="n">
        <f aca="false">H326*'W Sites'!$D$46/(1+'W Sites'!$D$54*'W Assumptions'!$D$39)*INDEX('W Assumptions'!$D$12:$F$12,1,D326)</f>
        <v>181068.14</v>
      </c>
      <c r="J326" s="81" t="n">
        <f aca="false">H326*SUM('W Sites'!$D$47:$D$49)/(1+'W Sites'!$D$54*'W Assumptions'!$D$39)*INDEX('W Assumptions'!$D$12:$F$12,1,D326)</f>
        <v>98764.44</v>
      </c>
      <c r="K326" s="81" t="n">
        <f aca="false">SUM('W Sites'!$D$50:$D$52)/12*F326*(1+'W Sites'!$D$56)^(D326-1)*INDEX('W Assumptions'!$D$7:$F$7,1,D326)*INDEX('W Assumptions'!$D$12:$F$12,1,D326)/(1+'W Sites'!$D$54*'W Assumptions'!$D$39)</f>
        <v>37453.3333333333</v>
      </c>
      <c r="L326" s="81" t="n">
        <f aca="false">SUM(I326:K326)</f>
        <v>317285.913333333</v>
      </c>
      <c r="M326" s="81" t="n">
        <f aca="false">('W Site Costs'!$I$6+INDEX('W Sites'!$F$65:$F$76,MONTH(C326),1)*'W Site Costs'!$V$6)*F326*(1+'W Sites'!$D$58)^(D326-1)*INDEX('W Assumptions'!$D$22:$F$22,1,D326)</f>
        <v>117353.6</v>
      </c>
      <c r="N326" s="81" t="n">
        <f aca="false">'W Site Costs'!$J$6*F326*INDEX('W Assumptions'!$D$35:$F$35,1,D326)*INDEX('W Assumptions'!$D$22:$F$22,1,D326)</f>
        <v>16224</v>
      </c>
      <c r="O326" s="81" t="n">
        <f aca="false">L326*'W Site Costs'!$K$6</f>
        <v>0</v>
      </c>
      <c r="P326" s="81" t="n">
        <f aca="false">(SUM('W Site Costs'!$L$6:$Q$6)+INDEX('W Sites'!$F$65:$F$76,MONTH(C326),1)*'W Site Costs'!$W$6)*F326*(1+'W Sites'!$D$58)^(D326-1)*INDEX('W Assumptions'!$D$22:$F$22,1,D326)</f>
        <v>80038.4</v>
      </c>
      <c r="Q326" s="81" t="n">
        <f aca="false">('W Site Costs'!$X$6+INDEX('W Sites'!$F$65:$F$76,MONTH(C326),1)*'W Site Costs'!$Y$6)*F326*(1+'W Sites'!$D$58)^(D326-1)*INDEX('W Assumptions'!$D$17:$F$17,1,D326)</f>
        <v>19468.8</v>
      </c>
      <c r="R326" s="112" t="n">
        <f aca="false">L326*'W Sites'!$M$6</f>
        <v>0</v>
      </c>
      <c r="S326" s="81" t="n">
        <f aca="false">SUM(M326:R326)</f>
        <v>233084.8</v>
      </c>
      <c r="T326" s="81" t="n">
        <f aca="false">L326-S326</f>
        <v>84201.1133333335</v>
      </c>
      <c r="U326" s="81" t="n">
        <f aca="false">IF(C326='W Budget &amp; Owners'!$I$6,'W Budget &amp; Owners'!$F$6*'W Sites'!$G$6,0)</f>
        <v>0</v>
      </c>
      <c r="V326" s="81" t="n">
        <f aca="false">'W Sites'!$G$6*'W Budget &amp; Owners'!$E$6*INDEX('W Assumptions'!$D$27:$F$27,1,D326)*(IF(C326='W Budget &amp; Owners'!$I$6,'W Assumptions'!$D$65,0)+IF(C326=DATE(YEAR('W Sites'!$F$6),MONTH('W Sites'!$F$6),1),1-'W Assumptions'!$D$65,0))+'W Sites'!$G$6*'W Budget &amp; Owners'!$E$6*IF(C326=DATE(2027,9,1),'W Assumptions'!$D$67,IF(C326=DATE(2028,9,1),'W Assumptions'!$D$69,0))</f>
        <v>0</v>
      </c>
      <c r="W326" s="81" t="n">
        <f aca="false">IF(((YEAR(C326)-YEAR('W Sites'!$F$6))*12+MONTH(C326)-MONTH('W Sites'!$F$6))&lt;'W Budget &amp; Owners'!$H$6,'W Budget &amp; Owners'!$E$6/'W Budget &amp; Owners'!$H$6*F326,0)+IF(C326&gt;=DATE(2027,9,1),'W Budget &amp; Owners'!$E$6*'W Assumptions'!$D$67/'W Budget &amp; Owners'!$H$6*F326,0)+IF(C326&gt;=DATE(2028,9,1),'W Budget &amp; Owners'!$E$6*'W Assumptions'!$D$69/'W Budget &amp; Owners'!$H$6*F326,0)</f>
        <v>6125</v>
      </c>
      <c r="X326" s="81" t="n">
        <f aca="false">IF(C326='W Budget &amp; Owners'!$I$6,'W Budget &amp; Owners'!$G$6*'W Sites'!$G$6,0)</f>
        <v>0</v>
      </c>
      <c r="Y326" s="112" t="n">
        <f aca="false">IF(SUM($G$326:$G$335)=0,0,'W Fees &amp; KPI'!$Q$38*G326/SUM($G$326:$G$335))</f>
        <v>3214.27221165508</v>
      </c>
      <c r="Z326" s="119" t="n">
        <f aca="false">IF(SUM($G$326:$G$335)=0,0,SUM('W Fees &amp; KPI'!$J$38,'W Fees &amp; KPI'!$M$38)*G326/SUM($G$326:$G$335))</f>
        <v>5223.75</v>
      </c>
      <c r="AA326" s="117" t="n">
        <f aca="false">T326-U326-Z326-Y326</f>
        <v>75763.0911216784</v>
      </c>
      <c r="AB326" s="119" t="n">
        <f aca="false">IF('W Fees &amp; KPI'!$D$38=0,0,T326-U326-Z326)</f>
        <v>78977.3633333335</v>
      </c>
    </row>
    <row r="327" customFormat="false" ht="21" hidden="false" customHeight="true" outlineLevel="0" collapsed="false">
      <c r="C327" s="144" t="n">
        <f aca="false">47239</f>
        <v>47239</v>
      </c>
      <c r="D327" s="81" t="n">
        <f aca="false">3</f>
        <v>3</v>
      </c>
      <c r="E327" s="81" t="str">
        <f aca="false">'W Sites'!C7</f>
        <v>S02</v>
      </c>
      <c r="F327" s="145" t="n">
        <f aca="false">'W Sites'!$G$7*MAX(0,EOMONTH(C327,0)-MAX(C327,'W Sites'!$F$7)+1)/DAY(EOMONTH(C327,0))</f>
        <v>1</v>
      </c>
      <c r="G327" s="145" t="n">
        <f aca="false">'W Sites'!$G$7*MAX(0,EOMONTH(C327,0)-MAX(C327,'W Sites'!$F$7,'W Assumptions'!$D$58)+1)/DAY(EOMONTH(C327,0))</f>
        <v>1</v>
      </c>
      <c r="H327" s="81" t="n">
        <f aca="false">'W Sites'!$H$7*F327*'W Sites'!$I$7*IF(((YEAR(C327)-YEAR('W Sites'!$F$7))*12+MONTH(C327)-MONTH('W Sites'!$F$7))=0,'W Assumptions'!$D$62,IF(((YEAR(C327)-YEAR('W Sites'!$F$7))*12+MONTH(C327)-MONTH('W Sites'!$F$7))=1,'W Assumptions'!$D$63,1))*INDEX('W Assumptions'!$D$7:$F$7,1,D327)*INDEX('W Assumptions'!$D$32:$F$32,1,D327)*INDEX('W Assumptions'!$D$80:$D$91,MONTH(C327),1)/AVERAGE('W Assumptions'!$D$80:$D$91)</f>
        <v>2494.8</v>
      </c>
      <c r="I327" s="81" t="n">
        <f aca="false">H327*'W Sites'!$J$7/(1+'W Assumptions'!$D$39)*INDEX('W Assumptions'!$D$12:$F$12,1,D327)*INDEX('W Assumptions'!$D$33:$F$33,1,D327)</f>
        <v>80552.7532173913</v>
      </c>
      <c r="J327" s="81" t="n">
        <f aca="false">H327*'W Sites'!$K$7/(1+'W Assumptions'!$D$39)*INDEX('W Assumptions'!$D$12:$F$12,1,D327)*INDEX('W Assumptions'!$D$33:$F$33,1,D327)</f>
        <v>6904.52170434783</v>
      </c>
      <c r="K327" s="81" t="n">
        <f aca="false">'W Sites'!$L$7*F327*IF(((YEAR(C327)-YEAR('W Sites'!$F$7))*12+MONTH(C327)-MONTH('W Sites'!$F$7))=0,'W Assumptions'!$D$62,IF(((YEAR(C327)-YEAR('W Sites'!$F$7))*12+MONTH(C327)-MONTH('W Sites'!$F$7))=1,'W Assumptions'!$D$63,1))*INDEX('W Assumptions'!$D$7:$F$7,1,D327)*INDEX('W Assumptions'!$D$32:$F$32,1,D327)</f>
        <v>5940</v>
      </c>
      <c r="L327" s="81" t="n">
        <f aca="false">SUM(I327:K327)</f>
        <v>93397.2749217391</v>
      </c>
      <c r="M327" s="81" t="n">
        <f aca="false">'W Site Costs'!$I$7*F327*INDEX('W Assumptions'!$D$34:$F$34,1,D327)*INDEX('W Assumptions'!$D$22:$F$22,1,D327)</f>
        <v>35776.125</v>
      </c>
      <c r="N327" s="81" t="n">
        <f aca="false">'W Site Costs'!$J$7*F327*INDEX('W Assumptions'!$D$35:$F$35,1,D327)*INDEX('W Assumptions'!$D$22:$F$22,1,D327)</f>
        <v>0</v>
      </c>
      <c r="O327" s="81" t="n">
        <f aca="false">L327*'W Site Costs'!$K$7</f>
        <v>14009.5912382609</v>
      </c>
      <c r="P327" s="81" t="n">
        <f aca="false">SUM('W Site Costs'!$L$7:$Q$7)*F327*INDEX('W Assumptions'!$D$35:$F$35,1,D327)*INDEX('W Assumptions'!$D$22:$F$22,1,D327)</f>
        <v>12654.72</v>
      </c>
      <c r="Q327" s="81" t="n">
        <f aca="false">L327*'W Site Costs'!$R$7*INDEX('W Assumptions'!$D$17:$F$17,1,D327)</f>
        <v>5603.83649530435</v>
      </c>
      <c r="R327" s="112" t="n">
        <f aca="false">L327*'W Sites'!$M$7</f>
        <v>0</v>
      </c>
      <c r="S327" s="81" t="n">
        <f aca="false">SUM(M327:R327)</f>
        <v>68044.2727335652</v>
      </c>
      <c r="T327" s="81" t="n">
        <f aca="false">L327-S327</f>
        <v>25353.0021881739</v>
      </c>
      <c r="U327" s="81" t="n">
        <f aca="false">IF(C327='W Budget &amp; Owners'!$I$7,'W Budget &amp; Owners'!$F$7*'W Sites'!$G$7,0)</f>
        <v>0</v>
      </c>
      <c r="V327" s="81" t="n">
        <f aca="false">'W Sites'!$G$7*'W Budget &amp; Owners'!$E$7*INDEX('W Assumptions'!$D$27:$F$27,1,D327)*(IF(C327='W Budget &amp; Owners'!$I$7,'W Assumptions'!$D$65,0)+IF(C327=DATE(YEAR('W Sites'!$F$7),MONTH('W Sites'!$F$7),1),1-'W Assumptions'!$D$65,0))+'W Sites'!$G$7*'W Budget &amp; Owners'!$E$7*IF(C327=DATE(2027,9,1),'W Assumptions'!$D$67,IF(C327=DATE(2028,9,1),'W Assumptions'!$D$69,0))</f>
        <v>0</v>
      </c>
      <c r="W327" s="81" t="n">
        <f aca="false">IF(((YEAR(C327)-YEAR('W Sites'!$F$7))*12+MONTH(C327)-MONTH('W Sites'!$F$7))&lt;'W Budget &amp; Owners'!$H$7,'W Budget &amp; Owners'!$E$7/'W Budget &amp; Owners'!$H$7*F327,0)+IF(C327&gt;=DATE(2027,9,1),'W Budget &amp; Owners'!$E$7*'W Assumptions'!$D$67/'W Budget &amp; Owners'!$H$7*F327,0)+IF(C327&gt;=DATE(2028,9,1),'W Budget &amp; Owners'!$E$7*'W Assumptions'!$D$69/'W Budget &amp; Owners'!$H$7*F327,0)</f>
        <v>1400</v>
      </c>
      <c r="X327" s="81" t="n">
        <f aca="false">IF(C327='W Budget &amp; Owners'!$I$7,'W Budget &amp; Owners'!$G$7*'W Sites'!$G$7,0)</f>
        <v>0</v>
      </c>
      <c r="Y327" s="112" t="n">
        <f aca="false">IF(SUM($G$326:$G$335)=0,0,'W Fees &amp; KPI'!$Q$38*G327/SUM($G$326:$G$335))</f>
        <v>3214.27221165508</v>
      </c>
      <c r="Z327" s="119" t="n">
        <f aca="false">IF(SUM($G$326:$G$335)=0,0,SUM('W Fees &amp; KPI'!$J$38,'W Fees &amp; KPI'!$M$38)*G327/SUM($G$326:$G$335))</f>
        <v>5223.75</v>
      </c>
      <c r="AA327" s="117" t="n">
        <f aca="false">T327-U327-Z327-Y327</f>
        <v>16914.9799765188</v>
      </c>
      <c r="AB327" s="119" t="n">
        <f aca="false">IF('W Fees &amp; KPI'!$D$38=0,0,T327-U327-Z327)</f>
        <v>20129.2521881739</v>
      </c>
    </row>
    <row r="328" customFormat="false" ht="21" hidden="false" customHeight="true" outlineLevel="0" collapsed="false">
      <c r="C328" s="144" t="n">
        <f aca="false">47239</f>
        <v>47239</v>
      </c>
      <c r="D328" s="81" t="n">
        <f aca="false">3</f>
        <v>3</v>
      </c>
      <c r="E328" s="81" t="str">
        <f aca="false">'W Sites'!C8</f>
        <v>S03</v>
      </c>
      <c r="F328" s="145" t="n">
        <f aca="false">'W Sites'!$G$8*MAX(0,EOMONTH(C328,0)-MAX(C328,'W Sites'!$F$8)+1)/DAY(EOMONTH(C328,0))</f>
        <v>1</v>
      </c>
      <c r="G328" s="145" t="n">
        <f aca="false">'W Sites'!$G$8*MAX(0,EOMONTH(C328,0)-MAX(C328,'W Sites'!$F$8,'W Assumptions'!$D$58)+1)/DAY(EOMONTH(C328,0))</f>
        <v>1</v>
      </c>
      <c r="H328" s="81" t="n">
        <f aca="false">'W Sites'!$H$8*F328*'W Sites'!$I$8*IF(((YEAR(C328)-YEAR('W Sites'!$F$8))*12+MONTH(C328)-MONTH('W Sites'!$F$8))=0,'W Assumptions'!$D$62,IF(((YEAR(C328)-YEAR('W Sites'!$F$8))*12+MONTH(C328)-MONTH('W Sites'!$F$8))=1,'W Assumptions'!$D$63,1))*INDEX('W Assumptions'!$D$7:$F$7,1,D328)*INDEX('W Assumptions'!$D$32:$F$32,1,D328)*INDEX('W Assumptions'!$D$80:$D$91,MONTH(C328),1)/AVERAGE('W Assumptions'!$D$80:$D$91)</f>
        <v>3368.71232876712</v>
      </c>
      <c r="I328" s="81" t="n">
        <f aca="false">H328*'W Sites'!$J$8/(1+'W Assumptions'!$D$39)*INDEX('W Assumptions'!$D$12:$F$12,1,D328)*INDEX('W Assumptions'!$D$33:$F$33,1,D328)</f>
        <v>202001.173150685</v>
      </c>
      <c r="J328" s="81" t="n">
        <f aca="false">H328*'W Sites'!$K$8/(1+'W Assumptions'!$D$39)*INDEX('W Assumptions'!$D$12:$F$12,1,D328)*INDEX('W Assumptions'!$D$33:$F$33,1,D328)</f>
        <v>24861.6828493151</v>
      </c>
      <c r="K328" s="81" t="n">
        <f aca="false">'W Sites'!$L$8*F328*IF(((YEAR(C328)-YEAR('W Sites'!$F$8))*12+MONTH(C328)-MONTH('W Sites'!$F$8))=0,'W Assumptions'!$D$62,IF(((YEAR(C328)-YEAR('W Sites'!$F$8))*12+MONTH(C328)-MONTH('W Sites'!$F$8))=1,'W Assumptions'!$D$63,1))*INDEX('W Assumptions'!$D$7:$F$7,1,D328)*INDEX('W Assumptions'!$D$32:$F$32,1,D328)</f>
        <v>23760</v>
      </c>
      <c r="L328" s="81" t="n">
        <f aca="false">SUM(I328:K328)</f>
        <v>250622.856</v>
      </c>
      <c r="M328" s="81" t="n">
        <f aca="false">'W Site Costs'!$I$8*F328*INDEX('W Assumptions'!$D$34:$F$34,1,D328)*INDEX('W Assumptions'!$D$22:$F$22,1,D328)</f>
        <v>52948.665</v>
      </c>
      <c r="N328" s="81" t="n">
        <f aca="false">'W Site Costs'!$J$8*F328*INDEX('W Assumptions'!$D$35:$F$35,1,D328)*INDEX('W Assumptions'!$D$22:$F$22,1,D328)</f>
        <v>37856</v>
      </c>
      <c r="O328" s="81" t="n">
        <f aca="false">L328*'W Site Costs'!$K$8</f>
        <v>0</v>
      </c>
      <c r="P328" s="81" t="n">
        <f aca="false">SUM('W Site Costs'!$L$8:$Q$8)*F328*INDEX('W Assumptions'!$D$35:$F$35,1,D328)*INDEX('W Assumptions'!$D$22:$F$22,1,D328)</f>
        <v>21091.2</v>
      </c>
      <c r="Q328" s="81" t="n">
        <f aca="false">L328*'W Site Costs'!$R$8*INDEX('W Assumptions'!$D$17:$F$17,1,D328)</f>
        <v>20049.82848</v>
      </c>
      <c r="R328" s="112" t="n">
        <f aca="false">L328*'W Sites'!$M$8</f>
        <v>0</v>
      </c>
      <c r="S328" s="81" t="n">
        <f aca="false">SUM(M328:R328)</f>
        <v>131945.69348</v>
      </c>
      <c r="T328" s="81" t="n">
        <f aca="false">L328-S328</f>
        <v>118677.16252</v>
      </c>
      <c r="U328" s="81" t="n">
        <f aca="false">IF(C328='W Budget &amp; Owners'!$I$8,'W Budget &amp; Owners'!$F$8*'W Sites'!$G$8,0)</f>
        <v>0</v>
      </c>
      <c r="V328" s="81" t="n">
        <f aca="false">'W Sites'!$G$8*'W Budget &amp; Owners'!$E$8*INDEX('W Assumptions'!$D$27:$F$27,1,D328)*(IF(C328='W Budget &amp; Owners'!$I$8,'W Assumptions'!$D$65,0)+IF(C328=DATE(YEAR('W Sites'!$F$8),MONTH('W Sites'!$F$8),1),1-'W Assumptions'!$D$65,0))+'W Sites'!$G$8*'W Budget &amp; Owners'!$E$8*IF(C328=DATE(2027,9,1),'W Assumptions'!$D$67,IF(C328=DATE(2028,9,1),'W Assumptions'!$D$69,0))</f>
        <v>0</v>
      </c>
      <c r="W328" s="81" t="n">
        <f aca="false">IF(((YEAR(C328)-YEAR('W Sites'!$F$8))*12+MONTH(C328)-MONTH('W Sites'!$F$8))&lt;'W Budget &amp; Owners'!$H$8,'W Budget &amp; Owners'!$E$8/'W Budget &amp; Owners'!$H$8*F328,0)+IF(C328&gt;=DATE(2027,9,1),'W Budget &amp; Owners'!$E$8*'W Assumptions'!$D$67/'W Budget &amp; Owners'!$H$8*F328,0)+IF(C328&gt;=DATE(2028,9,1),'W Budget &amp; Owners'!$E$8*'W Assumptions'!$D$69/'W Budget &amp; Owners'!$H$8*F328,0)</f>
        <v>10500</v>
      </c>
      <c r="X328" s="81" t="n">
        <f aca="false">IF(C328='W Budget &amp; Owners'!$I$8,'W Budget &amp; Owners'!$G$8*'W Sites'!$G$8,0)</f>
        <v>0</v>
      </c>
      <c r="Y328" s="112" t="n">
        <f aca="false">IF(SUM($G$326:$G$335)=0,0,'W Fees &amp; KPI'!$Q$38*G328/SUM($G$326:$G$335))</f>
        <v>3214.27221165508</v>
      </c>
      <c r="Z328" s="119" t="n">
        <f aca="false">IF(SUM($G$326:$G$335)=0,0,SUM('W Fees &amp; KPI'!$J$38,'W Fees &amp; KPI'!$M$38)*G328/SUM($G$326:$G$335))</f>
        <v>5223.75</v>
      </c>
      <c r="AA328" s="117" t="n">
        <f aca="false">T328-U328-Z328-Y328</f>
        <v>110239.140308345</v>
      </c>
      <c r="AB328" s="119" t="n">
        <f aca="false">IF('W Fees &amp; KPI'!$D$38=0,0,T328-U328-Z328)</f>
        <v>113453.41252</v>
      </c>
    </row>
    <row r="329" customFormat="false" ht="21" hidden="false" customHeight="true" outlineLevel="0" collapsed="false">
      <c r="C329" s="144" t="n">
        <f aca="false">47239</f>
        <v>47239</v>
      </c>
      <c r="D329" s="81" t="n">
        <f aca="false">3</f>
        <v>3</v>
      </c>
      <c r="E329" s="81" t="str">
        <f aca="false">'W Sites'!C9</f>
        <v>S04</v>
      </c>
      <c r="F329" s="145" t="n">
        <f aca="false">'W Sites'!$G$9*MAX(0,EOMONTH(C329,0)-MAX(C329,'W Sites'!$F$9)+1)/DAY(EOMONTH(C329,0))</f>
        <v>1</v>
      </c>
      <c r="G329" s="145" t="n">
        <f aca="false">'W Sites'!$G$9*MAX(0,EOMONTH(C329,0)-MAX(C329,'W Sites'!$F$9,'W Assumptions'!$D$58)+1)/DAY(EOMONTH(C329,0))</f>
        <v>1</v>
      </c>
      <c r="H329" s="81" t="n">
        <f aca="false">'W Sites'!$H$9*F329*'W Sites'!$I$9*IF(((YEAR(C329)-YEAR('W Sites'!$F$9))*12+MONTH(C329)-MONTH('W Sites'!$F$9))=0,'W Assumptions'!$D$62,IF(((YEAR(C329)-YEAR('W Sites'!$F$9))*12+MONTH(C329)-MONTH('W Sites'!$F$9))=1,'W Assumptions'!$D$63,1))*INDEX('W Assumptions'!$D$7:$F$7,1,D329)*INDEX('W Assumptions'!$D$32:$F$32,1,D329)*INDEX('W Assumptions'!$D$80:$D$91,MONTH(C329),1)/AVERAGE('W Assumptions'!$D$80:$D$91)</f>
        <v>2371.875</v>
      </c>
      <c r="I329" s="81" t="n">
        <f aca="false">H329*'W Sites'!$J$9/(1+'W Assumptions'!$D$39)*INDEX('W Assumptions'!$D$12:$F$12,1,D329)*INDEX('W Assumptions'!$D$33:$F$33,1,D329)</f>
        <v>142226.90625</v>
      </c>
      <c r="J329" s="81" t="n">
        <f aca="false">H329*'W Sites'!$K$9/(1+'W Assumptions'!$D$39)*INDEX('W Assumptions'!$D$12:$F$12,1,D329)*INDEX('W Assumptions'!$D$33:$F$33,1,D329)</f>
        <v>15316.74375</v>
      </c>
      <c r="K329" s="81" t="n">
        <f aca="false">'W Sites'!$L$9*F329*IF(((YEAR(C329)-YEAR('W Sites'!$F$9))*12+MONTH(C329)-MONTH('W Sites'!$F$9))=0,'W Assumptions'!$D$62,IF(((YEAR(C329)-YEAR('W Sites'!$F$9))*12+MONTH(C329)-MONTH('W Sites'!$F$9))=1,'W Assumptions'!$D$63,1))*INDEX('W Assumptions'!$D$7:$F$7,1,D329)*INDEX('W Assumptions'!$D$32:$F$32,1,D329)</f>
        <v>17820</v>
      </c>
      <c r="L329" s="81" t="n">
        <f aca="false">SUM(I329:K329)</f>
        <v>175363.65</v>
      </c>
      <c r="M329" s="81" t="n">
        <f aca="false">'W Site Costs'!$I$9*F329*INDEX('W Assumptions'!$D$34:$F$34,1,D329)*INDEX('W Assumptions'!$D$22:$F$22,1,D329)</f>
        <v>41630.4</v>
      </c>
      <c r="N329" s="81" t="n">
        <f aca="false">'W Site Costs'!$J$9*F329*INDEX('W Assumptions'!$D$35:$F$35,1,D329)*INDEX('W Assumptions'!$D$22:$F$22,1,D329)</f>
        <v>23795.2</v>
      </c>
      <c r="O329" s="81" t="n">
        <f aca="false">L329*'W Site Costs'!$K$9</f>
        <v>0</v>
      </c>
      <c r="P329" s="81" t="n">
        <f aca="false">SUM('W Site Costs'!$L$9:$Q$9)*F329*INDEX('W Assumptions'!$D$35:$F$35,1,D329)*INDEX('W Assumptions'!$D$22:$F$22,1,D329)</f>
        <v>16764.8</v>
      </c>
      <c r="Q329" s="81" t="n">
        <f aca="false">L329*'W Site Costs'!$R$9*INDEX('W Assumptions'!$D$17:$F$17,1,D329)</f>
        <v>14029.092</v>
      </c>
      <c r="R329" s="112" t="n">
        <f aca="false">L329*'W Sites'!$M$9</f>
        <v>0</v>
      </c>
      <c r="S329" s="81" t="n">
        <f aca="false">SUM(M329:R329)</f>
        <v>96219.492</v>
      </c>
      <c r="T329" s="81" t="n">
        <f aca="false">L329-S329</f>
        <v>79144.158</v>
      </c>
      <c r="U329" s="81" t="n">
        <f aca="false">IF(C329='W Budget &amp; Owners'!$I$9,'W Budget &amp; Owners'!$F$9*'W Sites'!$G$9,0)</f>
        <v>0</v>
      </c>
      <c r="V329" s="81" t="n">
        <f aca="false">'W Sites'!$G$9*'W Budget &amp; Owners'!$E$9*INDEX('W Assumptions'!$D$27:$F$27,1,D329)*(IF(C329='W Budget &amp; Owners'!$I$9,'W Assumptions'!$D$65,0)+IF(C329=DATE(YEAR('W Sites'!$F$9),MONTH('W Sites'!$F$9),1),1-'W Assumptions'!$D$65,0))+'W Sites'!$G$9*'W Budget &amp; Owners'!$E$9*IF(C329=DATE(2027,9,1),'W Assumptions'!$D$67,IF(C329=DATE(2028,9,1),'W Assumptions'!$D$69,0))</f>
        <v>0</v>
      </c>
      <c r="W329" s="81" t="n">
        <f aca="false">IF(((YEAR(C329)-YEAR('W Sites'!$F$9))*12+MONTH(C329)-MONTH('W Sites'!$F$9))&lt;'W Budget &amp; Owners'!$H$9,'W Budget &amp; Owners'!$E$9/'W Budget &amp; Owners'!$H$9*F329,0)+IF(C329&gt;=DATE(2027,9,1),'W Budget &amp; Owners'!$E$9*'W Assumptions'!$D$67/'W Budget &amp; Owners'!$H$9*F329,0)+IF(C329&gt;=DATE(2028,9,1),'W Budget &amp; Owners'!$E$9*'W Assumptions'!$D$69/'W Budget &amp; Owners'!$H$9*F329,0)</f>
        <v>8750</v>
      </c>
      <c r="X329" s="81" t="n">
        <f aca="false">IF(C329='W Budget &amp; Owners'!$I$9,'W Budget &amp; Owners'!$G$9*'W Sites'!$G$9,0)</f>
        <v>0</v>
      </c>
      <c r="Y329" s="112" t="n">
        <f aca="false">IF(SUM($G$326:$G$335)=0,0,'W Fees &amp; KPI'!$Q$38*G329/SUM($G$326:$G$335))</f>
        <v>3214.27221165508</v>
      </c>
      <c r="Z329" s="119" t="n">
        <f aca="false">IF(SUM($G$326:$G$335)=0,0,SUM('W Fees &amp; KPI'!$J$38,'W Fees &amp; KPI'!$M$38)*G329/SUM($G$326:$G$335))</f>
        <v>5223.75</v>
      </c>
      <c r="AA329" s="117" t="n">
        <f aca="false">T329-U329-Z329-Y329</f>
        <v>70706.1357883449</v>
      </c>
      <c r="AB329" s="119" t="n">
        <f aca="false">IF('W Fees &amp; KPI'!$D$38=0,0,T329-U329-Z329)</f>
        <v>73920.408</v>
      </c>
    </row>
    <row r="330" customFormat="false" ht="21" hidden="false" customHeight="true" outlineLevel="0" collapsed="false">
      <c r="C330" s="144" t="n">
        <f aca="false">47239</f>
        <v>47239</v>
      </c>
      <c r="D330" s="81" t="n">
        <f aca="false">3</f>
        <v>3</v>
      </c>
      <c r="E330" s="81" t="str">
        <f aca="false">'W Sites'!C10</f>
        <v>S05</v>
      </c>
      <c r="F330" s="145" t="n">
        <f aca="false">'W Sites'!$G$10*MAX(0,EOMONTH(C330,0)-MAX(C330,'W Sites'!$F$10)+1)/DAY(EOMONTH(C330,0))</f>
        <v>1</v>
      </c>
      <c r="G330" s="145" t="n">
        <f aca="false">'W Sites'!$G$10*MAX(0,EOMONTH(C330,0)-MAX(C330,'W Sites'!$F$10,'W Assumptions'!$D$58)+1)/DAY(EOMONTH(C330,0))</f>
        <v>1</v>
      </c>
      <c r="H330" s="81" t="n">
        <f aca="false">'W Sites'!$H$10*F330*'W Sites'!$I$10*IF(((YEAR(C330)-YEAR('W Sites'!$F$10))*12+MONTH(C330)-MONTH('W Sites'!$F$10))=0,'W Assumptions'!$D$62,IF(((YEAR(C330)-YEAR('W Sites'!$F$10))*12+MONTH(C330)-MONTH('W Sites'!$F$10))=1,'W Assumptions'!$D$63,1))*INDEX('W Assumptions'!$D$7:$F$7,1,D330)*INDEX('W Assumptions'!$D$32:$F$32,1,D330)*INDEX('W Assumptions'!$D$80:$D$91,MONTH(C330),1)/AVERAGE('W Assumptions'!$D$80:$D$91)</f>
        <v>3031.84109589041</v>
      </c>
      <c r="I330" s="81" t="n">
        <f aca="false">H330*'W Sites'!$J$10/(1+'W Assumptions'!$D$39)*INDEX('W Assumptions'!$D$12:$F$12,1,D330)*INDEX('W Assumptions'!$D$33:$F$33,1,D330)</f>
        <v>181801.055835616</v>
      </c>
      <c r="J330" s="81" t="n">
        <f aca="false">H330*'W Sites'!$K$10/(1+'W Assumptions'!$D$39)*INDEX('W Assumptions'!$D$12:$F$12,1,D330)*INDEX('W Assumptions'!$D$33:$F$33,1,D330)</f>
        <v>22375.5145643836</v>
      </c>
      <c r="K330" s="81" t="n">
        <f aca="false">'W Sites'!$L$10*F330*IF(((YEAR(C330)-YEAR('W Sites'!$F$10))*12+MONTH(C330)-MONTH('W Sites'!$F$10))=0,'W Assumptions'!$D$62,IF(((YEAR(C330)-YEAR('W Sites'!$F$10))*12+MONTH(C330)-MONTH('W Sites'!$F$10))=1,'W Assumptions'!$D$63,1))*INDEX('W Assumptions'!$D$7:$F$7,1,D330)*INDEX('W Assumptions'!$D$32:$F$32,1,D330)</f>
        <v>21384</v>
      </c>
      <c r="L330" s="81" t="n">
        <f aca="false">SUM(I330:K330)</f>
        <v>225560.5704</v>
      </c>
      <c r="M330" s="81" t="n">
        <f aca="false">'W Site Costs'!$I$10*F330*INDEX('W Assumptions'!$D$34:$F$34,1,D330)*INDEX('W Assumptions'!$D$22:$F$22,1,D330)</f>
        <v>52948.665</v>
      </c>
      <c r="N330" s="81" t="n">
        <f aca="false">'W Site Costs'!$J$10*F330*INDEX('W Assumptions'!$D$35:$F$35,1,D330)*INDEX('W Assumptions'!$D$22:$F$22,1,D330)</f>
        <v>32448</v>
      </c>
      <c r="O330" s="81" t="n">
        <f aca="false">L330*'W Site Costs'!$K$10</f>
        <v>0</v>
      </c>
      <c r="P330" s="81" t="n">
        <f aca="false">SUM('W Site Costs'!$L$10:$Q$10)*F330*INDEX('W Assumptions'!$D$35:$F$35,1,D330)*INDEX('W Assumptions'!$D$22:$F$22,1,D330)</f>
        <v>20550.4</v>
      </c>
      <c r="Q330" s="81" t="n">
        <f aca="false">L330*'W Site Costs'!$R$10*INDEX('W Assumptions'!$D$17:$F$17,1,D330)</f>
        <v>18044.845632</v>
      </c>
      <c r="R330" s="112" t="n">
        <f aca="false">L330*'W Sites'!$M$10</f>
        <v>0</v>
      </c>
      <c r="S330" s="81" t="n">
        <f aca="false">SUM(M330:R330)</f>
        <v>123991.910632</v>
      </c>
      <c r="T330" s="81" t="n">
        <f aca="false">L330-S330</f>
        <v>101568.659768</v>
      </c>
      <c r="U330" s="81" t="n">
        <f aca="false">IF(C330='W Budget &amp; Owners'!$I$10,'W Budget &amp; Owners'!$F$10*'W Sites'!$G$10,0)</f>
        <v>0</v>
      </c>
      <c r="V330" s="81" t="n">
        <f aca="false">'W Sites'!$G$10*'W Budget &amp; Owners'!$E$10*INDEX('W Assumptions'!$D$27:$F$27,1,D330)*(IF(C330='W Budget &amp; Owners'!$I$10,'W Assumptions'!$D$65,0)+IF(C330=DATE(YEAR('W Sites'!$F$10),MONTH('W Sites'!$F$10),1),1-'W Assumptions'!$D$65,0))+'W Sites'!$G$10*'W Budget &amp; Owners'!$E$10*IF(C330=DATE(2027,9,1),'W Assumptions'!$D$67,IF(C330=DATE(2028,9,1),'W Assumptions'!$D$69,0))</f>
        <v>0</v>
      </c>
      <c r="W330" s="81" t="n">
        <f aca="false">IF(((YEAR(C330)-YEAR('W Sites'!$F$10))*12+MONTH(C330)-MONTH('W Sites'!$F$10))&lt;'W Budget &amp; Owners'!$H$10,'W Budget &amp; Owners'!$E$10/'W Budget &amp; Owners'!$H$10*F330,0)+IF(C330&gt;=DATE(2027,9,1),'W Budget &amp; Owners'!$E$10*'W Assumptions'!$D$67/'W Budget &amp; Owners'!$H$10*F330,0)+IF(C330&gt;=DATE(2028,9,1),'W Budget &amp; Owners'!$E$10*'W Assumptions'!$D$69/'W Budget &amp; Owners'!$H$10*F330,0)</f>
        <v>13125</v>
      </c>
      <c r="X330" s="81" t="n">
        <f aca="false">IF(C330='W Budget &amp; Owners'!$I$10,'W Budget &amp; Owners'!$G$10*'W Sites'!$G$10,0)</f>
        <v>0</v>
      </c>
      <c r="Y330" s="112" t="n">
        <f aca="false">IF(SUM($G$326:$G$335)=0,0,'W Fees &amp; KPI'!$Q$38*G330/SUM($G$326:$G$335))</f>
        <v>3214.27221165508</v>
      </c>
      <c r="Z330" s="119" t="n">
        <f aca="false">IF(SUM($G$326:$G$335)=0,0,SUM('W Fees &amp; KPI'!$J$38,'W Fees &amp; KPI'!$M$38)*G330/SUM($G$326:$G$335))</f>
        <v>5223.75</v>
      </c>
      <c r="AA330" s="117" t="n">
        <f aca="false">T330-U330-Z330-Y330</f>
        <v>93130.6375563449</v>
      </c>
      <c r="AB330" s="119" t="n">
        <f aca="false">IF('W Fees &amp; KPI'!$D$38=0,0,T330-U330-Z330)</f>
        <v>96344.909768</v>
      </c>
    </row>
    <row r="331" customFormat="false" ht="21" hidden="false" customHeight="true" outlineLevel="0" collapsed="false">
      <c r="C331" s="144" t="n">
        <f aca="false">47239</f>
        <v>47239</v>
      </c>
      <c r="D331" s="81" t="n">
        <f aca="false">3</f>
        <v>3</v>
      </c>
      <c r="E331" s="81" t="str">
        <f aca="false">'W Sites'!C11</f>
        <v>S06</v>
      </c>
      <c r="F331" s="145" t="n">
        <f aca="false">'W Sites'!$G$11*MAX(0,EOMONTH(C331,0)-MAX(C331,'W Sites'!$F$11)+1)/DAY(EOMONTH(C331,0))</f>
        <v>1</v>
      </c>
      <c r="G331" s="145" t="n">
        <f aca="false">'W Sites'!$G$11*MAX(0,EOMONTH(C331,0)-MAX(C331,'W Sites'!$F$11,'W Assumptions'!$D$58)+1)/DAY(EOMONTH(C331,0))</f>
        <v>1</v>
      </c>
      <c r="H331" s="81" t="n">
        <f aca="false">'W Sites'!$H$11*F331*'W Sites'!$I$11*IF(((YEAR(C331)-YEAR('W Sites'!$F$11))*12+MONTH(C331)-MONTH('W Sites'!$F$11))=0,'W Assumptions'!$D$62,IF(((YEAR(C331)-YEAR('W Sites'!$F$11))*12+MONTH(C331)-MONTH('W Sites'!$F$11))=1,'W Assumptions'!$D$63,1))*INDEX('W Assumptions'!$D$7:$F$7,1,D331)*INDEX('W Assumptions'!$D$32:$F$32,1,D331)*INDEX('W Assumptions'!$D$80:$D$91,MONTH(C331),1)/AVERAGE('W Assumptions'!$D$80:$D$91)</f>
        <v>926.64</v>
      </c>
      <c r="I331" s="81" t="n">
        <f aca="false">H331*'W Sites'!$J$11/(1+'W Assumptions'!$D$39)*INDEX('W Assumptions'!$D$12:$F$12,1,D331)*INDEX('W Assumptions'!$D$33:$F$33,1,D331)</f>
        <v>51290.7326608696</v>
      </c>
      <c r="J331" s="81" t="n">
        <f aca="false">H331*'W Sites'!$K$11/(1+'W Assumptions'!$D$39)*INDEX('W Assumptions'!$D$12:$F$12,1,D331)*INDEX('W Assumptions'!$D$33:$F$33,1,D331)</f>
        <v>2564.53663304348</v>
      </c>
      <c r="K331" s="81" t="n">
        <f aca="false">'W Sites'!$L$11*F331*IF(((YEAR(C331)-YEAR('W Sites'!$F$11))*12+MONTH(C331)-MONTH('W Sites'!$F$11))=0,'W Assumptions'!$D$62,IF(((YEAR(C331)-YEAR('W Sites'!$F$11))*12+MONTH(C331)-MONTH('W Sites'!$F$11))=1,'W Assumptions'!$D$63,1))*INDEX('W Assumptions'!$D$7:$F$7,1,D331)*INDEX('W Assumptions'!$D$32:$F$32,1,D331)</f>
        <v>23760</v>
      </c>
      <c r="L331" s="81" t="n">
        <f aca="false">SUM(I331:K331)</f>
        <v>77615.2692939131</v>
      </c>
      <c r="M331" s="81" t="n">
        <f aca="false">'W Site Costs'!$I$11*F331*INDEX('W Assumptions'!$D$34:$F$34,1,D331)*INDEX('W Assumptions'!$D$22:$F$22,1,D331)</f>
        <v>26279.19</v>
      </c>
      <c r="N331" s="81" t="n">
        <f aca="false">'W Site Costs'!$J$11*F331*INDEX('W Assumptions'!$D$35:$F$35,1,D331)*INDEX('W Assumptions'!$D$22:$F$22,1,D331)</f>
        <v>5408</v>
      </c>
      <c r="O331" s="81" t="n">
        <f aca="false">L331*'W Site Costs'!$K$11</f>
        <v>0</v>
      </c>
      <c r="P331" s="81" t="n">
        <f aca="false">SUM('W Site Costs'!$L$11:$Q$11)*F331*INDEX('W Assumptions'!$D$35:$F$35,1,D331)*INDEX('W Assumptions'!$D$22:$F$22,1,D331)</f>
        <v>8652.8</v>
      </c>
      <c r="Q331" s="81" t="n">
        <f aca="false">L331*'W Site Costs'!$R$11*INDEX('W Assumptions'!$D$17:$F$17,1,D331)</f>
        <v>7761.52692939131</v>
      </c>
      <c r="R331" s="112" t="n">
        <f aca="false">L331*'W Sites'!$M$11</f>
        <v>0</v>
      </c>
      <c r="S331" s="81" t="n">
        <f aca="false">SUM(M331:R331)</f>
        <v>48101.5169293913</v>
      </c>
      <c r="T331" s="81" t="n">
        <f aca="false">L331-S331</f>
        <v>29513.7523645217</v>
      </c>
      <c r="U331" s="81" t="n">
        <f aca="false">IF(C331='W Budget &amp; Owners'!$I$11,'W Budget &amp; Owners'!$F$11*'W Sites'!$G$11,0)</f>
        <v>0</v>
      </c>
      <c r="V331" s="81" t="n">
        <f aca="false">'W Sites'!$G$11*'W Budget &amp; Owners'!$E$11*INDEX('W Assumptions'!$D$27:$F$27,1,D331)*(IF(C331='W Budget &amp; Owners'!$I$11,'W Assumptions'!$D$65,0)+IF(C331=DATE(YEAR('W Sites'!$F$11),MONTH('W Sites'!$F$11),1),1-'W Assumptions'!$D$65,0))+'W Sites'!$G$11*'W Budget &amp; Owners'!$E$11*IF(C331=DATE(2027,9,1),'W Assumptions'!$D$67,IF(C331=DATE(2028,9,1),'W Assumptions'!$D$69,0))</f>
        <v>0</v>
      </c>
      <c r="W331" s="81" t="n">
        <f aca="false">IF(((YEAR(C331)-YEAR('W Sites'!$F$11))*12+MONTH(C331)-MONTH('W Sites'!$F$11))&lt;'W Budget &amp; Owners'!$H$11,'W Budget &amp; Owners'!$E$11/'W Budget &amp; Owners'!$H$11*F331,0)+IF(C331&gt;=DATE(2027,9,1),'W Budget &amp; Owners'!$E$11*'W Assumptions'!$D$67/'W Budget &amp; Owners'!$H$11*F331,0)+IF(C331&gt;=DATE(2028,9,1),'W Budget &amp; Owners'!$E$11*'W Assumptions'!$D$69/'W Budget &amp; Owners'!$H$11*F331,0)</f>
        <v>2625</v>
      </c>
      <c r="X331" s="81" t="n">
        <f aca="false">IF(C331='W Budget &amp; Owners'!$I$11,'W Budget &amp; Owners'!$G$11*'W Sites'!$G$11,0)</f>
        <v>0</v>
      </c>
      <c r="Y331" s="112" t="n">
        <f aca="false">IF(SUM($G$326:$G$335)=0,0,'W Fees &amp; KPI'!$Q$38*G331/SUM($G$326:$G$335))</f>
        <v>3214.27221165508</v>
      </c>
      <c r="Z331" s="119" t="n">
        <f aca="false">IF(SUM($G$326:$G$335)=0,0,SUM('W Fees &amp; KPI'!$J$38,'W Fees &amp; KPI'!$M$38)*G331/SUM($G$326:$G$335))</f>
        <v>5223.75</v>
      </c>
      <c r="AA331" s="117" t="n">
        <f aca="false">T331-U331-Z331-Y331</f>
        <v>21075.7301528667</v>
      </c>
      <c r="AB331" s="119" t="n">
        <f aca="false">IF('W Fees &amp; KPI'!$D$38=0,0,T331-U331-Z331)</f>
        <v>24290.0023645217</v>
      </c>
    </row>
    <row r="332" customFormat="false" ht="21" hidden="false" customHeight="true" outlineLevel="0" collapsed="false">
      <c r="C332" s="144" t="n">
        <f aca="false">47239</f>
        <v>47239</v>
      </c>
      <c r="D332" s="81" t="n">
        <f aca="false">3</f>
        <v>3</v>
      </c>
      <c r="E332" s="81" t="str">
        <f aca="false">'W Sites'!C12</f>
        <v>S07</v>
      </c>
      <c r="F332" s="145" t="n">
        <f aca="false">'W Sites'!$G$12*MAX(0,EOMONTH(C332,0)-MAX(C332,'W Sites'!$F$12)+1)/DAY(EOMONTH(C332,0))</f>
        <v>1</v>
      </c>
      <c r="G332" s="145" t="n">
        <f aca="false">'W Sites'!$G$12*MAX(0,EOMONTH(C332,0)-MAX(C332,'W Sites'!$F$12,'W Assumptions'!$D$58)+1)/DAY(EOMONTH(C332,0))</f>
        <v>1</v>
      </c>
      <c r="H332" s="81" t="n">
        <f aca="false">'W Sites'!$H$12*F332*'W Sites'!$I$12*IF(((YEAR(C332)-YEAR('W Sites'!$F$12))*12+MONTH(C332)-MONTH('W Sites'!$F$12))=0,'W Assumptions'!$D$62,IF(((YEAR(C332)-YEAR('W Sites'!$F$12))*12+MONTH(C332)-MONTH('W Sites'!$F$12))=1,'W Assumptions'!$D$63,1))*INDEX('W Assumptions'!$D$7:$F$7,1,D332)*INDEX('W Assumptions'!$D$32:$F$32,1,D332)*INDEX('W Assumptions'!$D$80:$D$91,MONTH(C332),1)/AVERAGE('W Assumptions'!$D$80:$D$91)</f>
        <v>1081.08</v>
      </c>
      <c r="I332" s="81" t="n">
        <f aca="false">H332*'W Sites'!$J$12/(1+'W Assumptions'!$D$39)*INDEX('W Assumptions'!$D$12:$F$12,1,D332)*INDEX('W Assumptions'!$D$33:$F$33,1,D332)</f>
        <v>59839.1881043478</v>
      </c>
      <c r="J332" s="81" t="n">
        <f aca="false">H332*'W Sites'!$K$12/(1+'W Assumptions'!$D$39)*INDEX('W Assumptions'!$D$12:$F$12,1,D332)*INDEX('W Assumptions'!$D$33:$F$33,1,D332)</f>
        <v>2991.95940521739</v>
      </c>
      <c r="K332" s="81" t="n">
        <f aca="false">'W Sites'!$L$12*F332*IF(((YEAR(C332)-YEAR('W Sites'!$F$12))*12+MONTH(C332)-MONTH('W Sites'!$F$12))=0,'W Assumptions'!$D$62,IF(((YEAR(C332)-YEAR('W Sites'!$F$12))*12+MONTH(C332)-MONTH('W Sites'!$F$12))=1,'W Assumptions'!$D$63,1))*INDEX('W Assumptions'!$D$7:$F$7,1,D332)*INDEX('W Assumptions'!$D$32:$F$32,1,D332)</f>
        <v>21384</v>
      </c>
      <c r="L332" s="81" t="n">
        <f aca="false">SUM(I332:K332)</f>
        <v>84215.1475095652</v>
      </c>
      <c r="M332" s="81" t="n">
        <f aca="false">'W Site Costs'!$I$12*F332*INDEX('W Assumptions'!$D$34:$F$34,1,D332)*INDEX('W Assumptions'!$D$22:$F$22,1,D332)</f>
        <v>26279.19</v>
      </c>
      <c r="N332" s="81" t="n">
        <f aca="false">'W Site Costs'!$J$12*F332*INDEX('W Assumptions'!$D$35:$F$35,1,D332)*INDEX('W Assumptions'!$D$22:$F$22,1,D332)</f>
        <v>8652.8</v>
      </c>
      <c r="O332" s="81" t="n">
        <f aca="false">L332*'W Site Costs'!$K$12</f>
        <v>0</v>
      </c>
      <c r="P332" s="81" t="n">
        <f aca="false">SUM('W Site Costs'!$L$12:$Q$12)*F332*INDEX('W Assumptions'!$D$35:$F$35,1,D332)*INDEX('W Assumptions'!$D$22:$F$22,1,D332)</f>
        <v>9193.6</v>
      </c>
      <c r="Q332" s="81" t="n">
        <f aca="false">L332*'W Site Costs'!$R$12*INDEX('W Assumptions'!$D$17:$F$17,1,D332)</f>
        <v>8421.51475095652</v>
      </c>
      <c r="R332" s="112" t="n">
        <f aca="false">L332*'W Sites'!$M$12</f>
        <v>0</v>
      </c>
      <c r="S332" s="81" t="n">
        <f aca="false">SUM(M332:R332)</f>
        <v>52547.1047509565</v>
      </c>
      <c r="T332" s="81" t="n">
        <f aca="false">L332-S332</f>
        <v>31668.0427586087</v>
      </c>
      <c r="U332" s="81" t="n">
        <f aca="false">IF(C332='W Budget &amp; Owners'!$I$12,'W Budget &amp; Owners'!$F$12*'W Sites'!$G$12,0)</f>
        <v>0</v>
      </c>
      <c r="V332" s="81" t="n">
        <f aca="false">'W Sites'!$G$12*'W Budget &amp; Owners'!$E$12*INDEX('W Assumptions'!$D$27:$F$27,1,D332)*(IF(C332='W Budget &amp; Owners'!$I$12,'W Assumptions'!$D$65,0)+IF(C332=DATE(YEAR('W Sites'!$F$12),MONTH('W Sites'!$F$12),1),1-'W Assumptions'!$D$65,0))+'W Sites'!$G$12*'W Budget &amp; Owners'!$E$12*IF(C332=DATE(2027,9,1),'W Assumptions'!$D$67,IF(C332=DATE(2028,9,1),'W Assumptions'!$D$69,0))</f>
        <v>0</v>
      </c>
      <c r="W332" s="81" t="n">
        <f aca="false">IF(((YEAR(C332)-YEAR('W Sites'!$F$12))*12+MONTH(C332)-MONTH('W Sites'!$F$12))&lt;'W Budget &amp; Owners'!$H$12,'W Budget &amp; Owners'!$E$12/'W Budget &amp; Owners'!$H$12*F332,0)+IF(C332&gt;=DATE(2027,9,1),'W Budget &amp; Owners'!$E$12*'W Assumptions'!$D$67/'W Budget &amp; Owners'!$H$12*F332,0)+IF(C332&gt;=DATE(2028,9,1),'W Budget &amp; Owners'!$E$12*'W Assumptions'!$D$69/'W Budget &amp; Owners'!$H$12*F332,0)</f>
        <v>7875</v>
      </c>
      <c r="X332" s="81" t="n">
        <f aca="false">IF(C332='W Budget &amp; Owners'!$I$12,'W Budget &amp; Owners'!$G$12*'W Sites'!$G$12,0)</f>
        <v>0</v>
      </c>
      <c r="Y332" s="112" t="n">
        <f aca="false">IF(SUM($G$326:$G$335)=0,0,'W Fees &amp; KPI'!$Q$38*G332/SUM($G$326:$G$335))</f>
        <v>3214.27221165508</v>
      </c>
      <c r="Z332" s="119" t="n">
        <f aca="false">IF(SUM($G$326:$G$335)=0,0,SUM('W Fees &amp; KPI'!$J$38,'W Fees &amp; KPI'!$M$38)*G332/SUM($G$326:$G$335))</f>
        <v>5223.75</v>
      </c>
      <c r="AA332" s="117" t="n">
        <f aca="false">T332-U332-Z332-Y332</f>
        <v>23230.0205469536</v>
      </c>
      <c r="AB332" s="119" t="n">
        <f aca="false">IF('W Fees &amp; KPI'!$D$38=0,0,T332-U332-Z332)</f>
        <v>26444.2927586087</v>
      </c>
    </row>
    <row r="333" customFormat="false" ht="21" hidden="false" customHeight="true" outlineLevel="0" collapsed="false">
      <c r="C333" s="144" t="n">
        <f aca="false">47239</f>
        <v>47239</v>
      </c>
      <c r="D333" s="81" t="n">
        <f aca="false">3</f>
        <v>3</v>
      </c>
      <c r="E333" s="81" t="str">
        <f aca="false">'W Sites'!C13</f>
        <v>S08</v>
      </c>
      <c r="F333" s="145" t="n">
        <f aca="false">'W Sites'!$G$13*MAX(0,EOMONTH(C333,0)-MAX(C333,'W Sites'!$F$13)+1)/DAY(EOMONTH(C333,0))</f>
        <v>1</v>
      </c>
      <c r="G333" s="145" t="n">
        <f aca="false">'W Sites'!$G$13*MAX(0,EOMONTH(C333,0)-MAX(C333,'W Sites'!$F$13,'W Assumptions'!$D$58)+1)/DAY(EOMONTH(C333,0))</f>
        <v>1</v>
      </c>
      <c r="H333" s="81" t="n">
        <f aca="false">'W Sites'!$H$13*F333*'W Sites'!$I$13*IF(((YEAR(C333)-YEAR('W Sites'!$F$13))*12+MONTH(C333)-MONTH('W Sites'!$F$13))=0,'W Assumptions'!$D$62,IF(((YEAR(C333)-YEAR('W Sites'!$F$13))*12+MONTH(C333)-MONTH('W Sites'!$F$13))=1,'W Assumptions'!$D$63,1))*INDEX('W Assumptions'!$D$7:$F$7,1,D333)*INDEX('W Assumptions'!$D$32:$F$32,1,D333)*INDEX('W Assumptions'!$D$80:$D$91,MONTH(C333),1)/AVERAGE('W Assumptions'!$D$80:$D$91)</f>
        <v>4633.2</v>
      </c>
      <c r="I333" s="81" t="n">
        <f aca="false">H333*'W Sites'!$J$13/(1+'W Assumptions'!$D$39)*INDEX('W Assumptions'!$D$12:$F$12,1,D333)*INDEX('W Assumptions'!$D$33:$F$33,1,D333)</f>
        <v>170969.108869565</v>
      </c>
      <c r="J333" s="81" t="n">
        <f aca="false">H333*'W Sites'!$K$13/(1+'W Assumptions'!$D$39)*INDEX('W Assumptions'!$D$12:$F$12,1,D333)*INDEX('W Assumptions'!$D$33:$F$33,1,D333)</f>
        <v>21371.1386086957</v>
      </c>
      <c r="K333" s="81" t="n">
        <f aca="false">'W Sites'!$L$13*F333*IF(((YEAR(C333)-YEAR('W Sites'!$F$13))*12+MONTH(C333)-MONTH('W Sites'!$F$13))=0,'W Assumptions'!$D$62,IF(((YEAR(C333)-YEAR('W Sites'!$F$13))*12+MONTH(C333)-MONTH('W Sites'!$F$13))=1,'W Assumptions'!$D$63,1))*INDEX('W Assumptions'!$D$7:$F$7,1,D333)*INDEX('W Assumptions'!$D$32:$F$32,1,D333)</f>
        <v>17820</v>
      </c>
      <c r="L333" s="81" t="n">
        <f aca="false">SUM(I333:K333)</f>
        <v>210160.247478261</v>
      </c>
      <c r="M333" s="81" t="n">
        <f aca="false">'W Site Costs'!$I$13*F333*INDEX('W Assumptions'!$D$34:$F$34,1,D333)*INDEX('W Assumptions'!$D$22:$F$22,1,D333)</f>
        <v>58802.94</v>
      </c>
      <c r="N333" s="81" t="n">
        <f aca="false">'W Site Costs'!$J$13*F333*INDEX('W Assumptions'!$D$35:$F$35,1,D333)*INDEX('W Assumptions'!$D$22:$F$22,1,D333)</f>
        <v>0</v>
      </c>
      <c r="O333" s="81" t="n">
        <f aca="false">L333*'W Site Costs'!$K$13</f>
        <v>21016.0247478261</v>
      </c>
      <c r="P333" s="81" t="n">
        <f aca="false">SUM('W Site Costs'!$L$13:$Q$13)*F333*INDEX('W Assumptions'!$D$35:$F$35,1,D333)*INDEX('W Assumptions'!$D$22:$F$22,1,D333)</f>
        <v>27580.8</v>
      </c>
      <c r="Q333" s="81" t="n">
        <f aca="false">L333*'W Site Costs'!$R$13*INDEX('W Assumptions'!$D$17:$F$17,1,D333)</f>
        <v>16812.8197982609</v>
      </c>
      <c r="R333" s="112" t="n">
        <f aca="false">L333*'W Sites'!$M$13</f>
        <v>0</v>
      </c>
      <c r="S333" s="81" t="n">
        <f aca="false">SUM(M333:R333)</f>
        <v>124212.584546087</v>
      </c>
      <c r="T333" s="81" t="n">
        <f aca="false">L333-S333</f>
        <v>85947.6629321739</v>
      </c>
      <c r="U333" s="81" t="n">
        <f aca="false">IF(C333='W Budget &amp; Owners'!$I$13,'W Budget &amp; Owners'!$F$13*'W Sites'!$G$13,0)</f>
        <v>0</v>
      </c>
      <c r="V333" s="81" t="n">
        <f aca="false">'W Sites'!$G$13*'W Budget &amp; Owners'!$E$13*INDEX('W Assumptions'!$D$27:$F$27,1,D333)*(IF(C333='W Budget &amp; Owners'!$I$13,'W Assumptions'!$D$65,0)+IF(C333=DATE(YEAR('W Sites'!$F$13),MONTH('W Sites'!$F$13),1),1-'W Assumptions'!$D$65,0))+'W Sites'!$G$13*'W Budget &amp; Owners'!$E$13*IF(C333=DATE(2027,9,1),'W Assumptions'!$D$67,IF(C333=DATE(2028,9,1),'W Assumptions'!$D$69,0))</f>
        <v>0</v>
      </c>
      <c r="W333" s="81" t="n">
        <f aca="false">IF(((YEAR(C333)-YEAR('W Sites'!$F$13))*12+MONTH(C333)-MONTH('W Sites'!$F$13))&lt;'W Budget &amp; Owners'!$H$13,'W Budget &amp; Owners'!$E$13/'W Budget &amp; Owners'!$H$13*F333,0)+IF(C333&gt;=DATE(2027,9,1),'W Budget &amp; Owners'!$E$13*'W Assumptions'!$D$67/'W Budget &amp; Owners'!$H$13*F333,0)+IF(C333&gt;=DATE(2028,9,1),'W Budget &amp; Owners'!$E$13*'W Assumptions'!$D$69/'W Budget &amp; Owners'!$H$13*F333,0)</f>
        <v>21000</v>
      </c>
      <c r="X333" s="81" t="n">
        <f aca="false">IF(C333='W Budget &amp; Owners'!$I$13,'W Budget &amp; Owners'!$G$13*'W Sites'!$G$13,0)</f>
        <v>0</v>
      </c>
      <c r="Y333" s="112" t="n">
        <f aca="false">IF(SUM($G$326:$G$335)=0,0,'W Fees &amp; KPI'!$Q$38*G333/SUM($G$326:$G$335))</f>
        <v>3214.27221165508</v>
      </c>
      <c r="Z333" s="119" t="n">
        <f aca="false">IF(SUM($G$326:$G$335)=0,0,SUM('W Fees &amp; KPI'!$J$38,'W Fees &amp; KPI'!$M$38)*G333/SUM($G$326:$G$335))</f>
        <v>5223.75</v>
      </c>
      <c r="AA333" s="117" t="n">
        <f aca="false">T333-U333-Z333-Y333</f>
        <v>77509.6407205189</v>
      </c>
      <c r="AB333" s="119" t="n">
        <f aca="false">IF('W Fees &amp; KPI'!$D$38=0,0,T333-U333-Z333)</f>
        <v>80723.9129321739</v>
      </c>
    </row>
    <row r="334" customFormat="false" ht="21" hidden="false" customHeight="true" outlineLevel="0" collapsed="false">
      <c r="C334" s="144" t="n">
        <f aca="false">47239</f>
        <v>47239</v>
      </c>
      <c r="D334" s="81" t="n">
        <f aca="false">3</f>
        <v>3</v>
      </c>
      <c r="E334" s="81" t="str">
        <f aca="false">'W Sites'!C14</f>
        <v>S09</v>
      </c>
      <c r="F334" s="145" t="n">
        <f aca="false">'W Sites'!$G$14*MAX(0,EOMONTH(C334,0)-MAX(C334,'W Sites'!$F$14)+1)/DAY(EOMONTH(C334,0))</f>
        <v>0</v>
      </c>
      <c r="G334" s="145" t="n">
        <f aca="false">'W Sites'!$G$14*MAX(0,EOMONTH(C334,0)-MAX(C334,'W Sites'!$F$14,'W Assumptions'!$D$58)+1)/DAY(EOMONTH(C334,0))</f>
        <v>0</v>
      </c>
      <c r="H334" s="81" t="n">
        <f aca="false">'W Sites'!$H$14*F334*'W Sites'!$I$14*IF(((YEAR(C334)-YEAR('W Sites'!$F$14))*12+MONTH(C334)-MONTH('W Sites'!$F$14))=0,'W Assumptions'!$D$62,IF(((YEAR(C334)-YEAR('W Sites'!$F$14))*12+MONTH(C334)-MONTH('W Sites'!$F$14))=1,'W Assumptions'!$D$63,1))*INDEX('W Assumptions'!$D$7:$F$7,1,D334)*INDEX('W Assumptions'!$D$32:$F$32,1,D334)*INDEX('W Assumptions'!$D$80:$D$91,MONTH(C334),1)/AVERAGE('W Assumptions'!$D$80:$D$91)</f>
        <v>0</v>
      </c>
      <c r="I334" s="81" t="n">
        <f aca="false">H334*'W Sites'!$J$14/(1+'W Assumptions'!$D$39)*INDEX('W Assumptions'!$D$12:$F$12,1,D334)*INDEX('W Assumptions'!$D$33:$F$33,1,D334)</f>
        <v>0</v>
      </c>
      <c r="J334" s="81" t="n">
        <f aca="false">H334*'W Sites'!$K$14/(1+'W Assumptions'!$D$39)*INDEX('W Assumptions'!$D$12:$F$12,1,D334)*INDEX('W Assumptions'!$D$33:$F$33,1,D334)</f>
        <v>0</v>
      </c>
      <c r="K334" s="81" t="n">
        <f aca="false">'W Sites'!$L$14*F334*IF(((YEAR(C334)-YEAR('W Sites'!$F$14))*12+MONTH(C334)-MONTH('W Sites'!$F$14))=0,'W Assumptions'!$D$62,IF(((YEAR(C334)-YEAR('W Sites'!$F$14))*12+MONTH(C334)-MONTH('W Sites'!$F$14))=1,'W Assumptions'!$D$63,1))*INDEX('W Assumptions'!$D$7:$F$7,1,D334)*INDEX('W Assumptions'!$D$32:$F$32,1,D334)</f>
        <v>0</v>
      </c>
      <c r="L334" s="81" t="n">
        <f aca="false">SUM(I334:K334)</f>
        <v>0</v>
      </c>
      <c r="M334" s="81" t="n">
        <f aca="false">'W Site Costs'!$I$14*F334*INDEX('W Assumptions'!$D$34:$F$34,1,D334)*INDEX('W Assumptions'!$D$22:$F$22,1,D334)</f>
        <v>0</v>
      </c>
      <c r="N334" s="81" t="n">
        <f aca="false">'W Site Costs'!$J$14*F334*INDEX('W Assumptions'!$D$35:$F$35,1,D334)*INDEX('W Assumptions'!$D$22:$F$22,1,D334)</f>
        <v>0</v>
      </c>
      <c r="O334" s="81" t="n">
        <f aca="false">L334*'W Site Costs'!$K$14</f>
        <v>0</v>
      </c>
      <c r="P334" s="81" t="n">
        <f aca="false">SUM('W Site Costs'!$L$14:$Q$14)*F334*INDEX('W Assumptions'!$D$35:$F$35,1,D334)*INDEX('W Assumptions'!$D$22:$F$22,1,D334)</f>
        <v>0</v>
      </c>
      <c r="Q334" s="81" t="n">
        <f aca="false">L334*'W Site Costs'!$R$14*INDEX('W Assumptions'!$D$17:$F$17,1,D334)</f>
        <v>0</v>
      </c>
      <c r="R334" s="112" t="n">
        <f aca="false">L334*'W Sites'!$M$14</f>
        <v>0</v>
      </c>
      <c r="S334" s="81" t="n">
        <f aca="false">SUM(M334:R334)</f>
        <v>0</v>
      </c>
      <c r="T334" s="81" t="n">
        <f aca="false">L334-S334</f>
        <v>0</v>
      </c>
      <c r="U334" s="81" t="n">
        <f aca="false">IF(C334='W Budget &amp; Owners'!$I$14,'W Budget &amp; Owners'!$F$14*'W Sites'!$G$14,0)</f>
        <v>0</v>
      </c>
      <c r="V334" s="81" t="n">
        <f aca="false">'W Sites'!$G$14*'W Budget &amp; Owners'!$E$14*INDEX('W Assumptions'!$D$27:$F$27,1,D334)*(IF(C334='W Budget &amp; Owners'!$I$14,'W Assumptions'!$D$65,0)+IF(C334=DATE(YEAR('W Sites'!$F$14),MONTH('W Sites'!$F$14),1),1-'W Assumptions'!$D$65,0))+'W Sites'!$G$14*'W Budget &amp; Owners'!$E$14*IF(C334=DATE(2027,9,1),'W Assumptions'!$D$67,IF(C334=DATE(2028,9,1),'W Assumptions'!$D$69,0))</f>
        <v>0</v>
      </c>
      <c r="W334" s="81" t="n">
        <f aca="false">IF(((YEAR(C334)-YEAR('W Sites'!$F$14))*12+MONTH(C334)-MONTH('W Sites'!$F$14))&lt;'W Budget &amp; Owners'!$H$14,'W Budget &amp; Owners'!$E$14/'W Budget &amp; Owners'!$H$14*F334,0)+IF(C334&gt;=DATE(2027,9,1),'W Budget &amp; Owners'!$E$14*'W Assumptions'!$D$67/'W Budget &amp; Owners'!$H$14*F334,0)+IF(C334&gt;=DATE(2028,9,1),'W Budget &amp; Owners'!$E$14*'W Assumptions'!$D$69/'W Budget &amp; Owners'!$H$14*F334,0)</f>
        <v>0</v>
      </c>
      <c r="X334" s="81" t="n">
        <f aca="false">IF(C334='W Budget &amp; Owners'!$I$14,'W Budget &amp; Owners'!$G$14*'W Sites'!$G$14,0)</f>
        <v>0</v>
      </c>
      <c r="Y334" s="112" t="n">
        <f aca="false">IF(SUM($G$326:$G$335)=0,0,'W Fees &amp; KPI'!$Q$38*G334/SUM($G$326:$G$335))</f>
        <v>0</v>
      </c>
      <c r="Z334" s="119" t="n">
        <f aca="false">IF(SUM($G$326:$G$335)=0,0,SUM('W Fees &amp; KPI'!$J$38,'W Fees &amp; KPI'!$M$38)*G334/SUM($G$326:$G$335))</f>
        <v>0</v>
      </c>
      <c r="AA334" s="117" t="n">
        <f aca="false">T334-U334-Z334-Y334</f>
        <v>0</v>
      </c>
      <c r="AB334" s="119" t="n">
        <f aca="false">IF('W Fees &amp; KPI'!$D$38=0,0,T334-U334-Z334)</f>
        <v>0</v>
      </c>
    </row>
    <row r="335" customFormat="false" ht="21" hidden="false" customHeight="true" outlineLevel="0" collapsed="false">
      <c r="C335" s="144" t="n">
        <f aca="false">47239</f>
        <v>47239</v>
      </c>
      <c r="D335" s="81" t="n">
        <f aca="false">3</f>
        <v>3</v>
      </c>
      <c r="E335" s="81" t="str">
        <f aca="false">'W Sites'!C15</f>
        <v>S10</v>
      </c>
      <c r="F335" s="145" t="n">
        <f aca="false">'W Sites'!$G$15*MAX(0,EOMONTH(C335,0)-MAX(C335,'W Sites'!$F$15)+1)/DAY(EOMONTH(C335,0))</f>
        <v>0</v>
      </c>
      <c r="G335" s="145" t="n">
        <f aca="false">'W Sites'!$G$15*MAX(0,EOMONTH(C335,0)-MAX(C335,'W Sites'!$F$15,'W Assumptions'!$D$58)+1)/DAY(EOMONTH(C335,0))</f>
        <v>0</v>
      </c>
      <c r="H335" s="81" t="n">
        <f aca="false">'W Sites'!$H$15*F335*'W Sites'!$I$15*IF(((YEAR(C335)-YEAR('W Sites'!$F$15))*12+MONTH(C335)-MONTH('W Sites'!$F$15))=0,'W Assumptions'!$D$62,IF(((YEAR(C335)-YEAR('W Sites'!$F$15))*12+MONTH(C335)-MONTH('W Sites'!$F$15))=1,'W Assumptions'!$D$63,1))*INDEX('W Assumptions'!$D$7:$F$7,1,D335)*INDEX('W Assumptions'!$D$32:$F$32,1,D335)*INDEX('W Assumptions'!$D$80:$D$91,MONTH(C335),1)/AVERAGE('W Assumptions'!$D$80:$D$91)</f>
        <v>0</v>
      </c>
      <c r="I335" s="81" t="n">
        <f aca="false">H335*'W Sites'!$J$15/(1+'W Assumptions'!$D$39)*INDEX('W Assumptions'!$D$12:$F$12,1,D335)*INDEX('W Assumptions'!$D$33:$F$33,1,D335)</f>
        <v>0</v>
      </c>
      <c r="J335" s="81" t="n">
        <f aca="false">H335*'W Sites'!$K$15/(1+'W Assumptions'!$D$39)*INDEX('W Assumptions'!$D$12:$F$12,1,D335)*INDEX('W Assumptions'!$D$33:$F$33,1,D335)</f>
        <v>0</v>
      </c>
      <c r="K335" s="81" t="n">
        <f aca="false">'W Sites'!$L$15*F335*IF(((YEAR(C335)-YEAR('W Sites'!$F$15))*12+MONTH(C335)-MONTH('W Sites'!$F$15))=0,'W Assumptions'!$D$62,IF(((YEAR(C335)-YEAR('W Sites'!$F$15))*12+MONTH(C335)-MONTH('W Sites'!$F$15))=1,'W Assumptions'!$D$63,1))*INDEX('W Assumptions'!$D$7:$F$7,1,D335)*INDEX('W Assumptions'!$D$32:$F$32,1,D335)</f>
        <v>0</v>
      </c>
      <c r="L335" s="81" t="n">
        <f aca="false">SUM(I335:K335)</f>
        <v>0</v>
      </c>
      <c r="M335" s="81" t="n">
        <f aca="false">'W Site Costs'!$I$15*F335*INDEX('W Assumptions'!$D$34:$F$34,1,D335)*INDEX('W Assumptions'!$D$22:$F$22,1,D335)</f>
        <v>0</v>
      </c>
      <c r="N335" s="81" t="n">
        <f aca="false">'W Site Costs'!$J$15*F335*INDEX('W Assumptions'!$D$35:$F$35,1,D335)*INDEX('W Assumptions'!$D$22:$F$22,1,D335)</f>
        <v>0</v>
      </c>
      <c r="O335" s="81" t="n">
        <f aca="false">L335*'W Site Costs'!$K$15</f>
        <v>0</v>
      </c>
      <c r="P335" s="81" t="n">
        <f aca="false">SUM('W Site Costs'!$L$15:$Q$15)*F335*INDEX('W Assumptions'!$D$35:$F$35,1,D335)*INDEX('W Assumptions'!$D$22:$F$22,1,D335)</f>
        <v>0</v>
      </c>
      <c r="Q335" s="81" t="n">
        <f aca="false">L335*'W Site Costs'!$R$15*INDEX('W Assumptions'!$D$17:$F$17,1,D335)</f>
        <v>0</v>
      </c>
      <c r="R335" s="112" t="n">
        <f aca="false">L335*'W Sites'!$M$15</f>
        <v>0</v>
      </c>
      <c r="S335" s="81" t="n">
        <f aca="false">SUM(M335:R335)</f>
        <v>0</v>
      </c>
      <c r="T335" s="81" t="n">
        <f aca="false">L335-S335</f>
        <v>0</v>
      </c>
      <c r="U335" s="81" t="n">
        <f aca="false">IF(C335='W Budget &amp; Owners'!$I$15,'W Budget &amp; Owners'!$F$15*'W Sites'!$G$15,0)</f>
        <v>0</v>
      </c>
      <c r="V335" s="81" t="n">
        <f aca="false">'W Sites'!$G$15*'W Budget &amp; Owners'!$E$15*INDEX('W Assumptions'!$D$27:$F$27,1,D335)*(IF(C335='W Budget &amp; Owners'!$I$15,'W Assumptions'!$D$65,0)+IF(C335=DATE(YEAR('W Sites'!$F$15),MONTH('W Sites'!$F$15),1),1-'W Assumptions'!$D$65,0))+'W Sites'!$G$15*'W Budget &amp; Owners'!$E$15*IF(C335=DATE(2027,9,1),'W Assumptions'!$D$67,IF(C335=DATE(2028,9,1),'W Assumptions'!$D$69,0))</f>
        <v>0</v>
      </c>
      <c r="W335" s="81" t="n">
        <f aca="false">IF(((YEAR(C335)-YEAR('W Sites'!$F$15))*12+MONTH(C335)-MONTH('W Sites'!$F$15))&lt;'W Budget &amp; Owners'!$H$15,'W Budget &amp; Owners'!$E$15/'W Budget &amp; Owners'!$H$15*F335,0)+IF(C335&gt;=DATE(2027,9,1),'W Budget &amp; Owners'!$E$15*'W Assumptions'!$D$67/'W Budget &amp; Owners'!$H$15*F335,0)+IF(C335&gt;=DATE(2028,9,1),'W Budget &amp; Owners'!$E$15*'W Assumptions'!$D$69/'W Budget &amp; Owners'!$H$15*F335,0)</f>
        <v>0</v>
      </c>
      <c r="X335" s="81" t="n">
        <f aca="false">IF(C335='W Budget &amp; Owners'!$I$15,'W Budget &amp; Owners'!$G$15*'W Sites'!$G$15,0)</f>
        <v>0</v>
      </c>
      <c r="Y335" s="112" t="n">
        <f aca="false">IF(SUM($G$326:$G$335)=0,0,'W Fees &amp; KPI'!$Q$38*G335/SUM($G$326:$G$335))</f>
        <v>0</v>
      </c>
      <c r="Z335" s="119" t="n">
        <f aca="false">IF(SUM($G$326:$G$335)=0,0,SUM('W Fees &amp; KPI'!$J$38,'W Fees &amp; KPI'!$M$38)*G335/SUM($G$326:$G$335))</f>
        <v>0</v>
      </c>
      <c r="AA335" s="117" t="n">
        <f aca="false">T335-U335-Z335-Y335</f>
        <v>0</v>
      </c>
      <c r="AB335" s="119" t="n">
        <f aca="false">IF('W Fees &amp; KPI'!$D$38=0,0,T335-U335-Z335)</f>
        <v>0</v>
      </c>
    </row>
    <row r="336" customFormat="false" ht="21" hidden="false" customHeight="true" outlineLevel="0" collapsed="false">
      <c r="C336" s="144" t="n">
        <f aca="false">47270</f>
        <v>47270</v>
      </c>
      <c r="D336" s="81" t="n">
        <f aca="false">3</f>
        <v>3</v>
      </c>
      <c r="E336" s="81" t="str">
        <f aca="false">'W Sites'!C6</f>
        <v>S01</v>
      </c>
      <c r="F336" s="145" t="n">
        <f aca="false">'W Sites'!$G$6*MAX(0,EOMONTH(C336,0)-MAX(C336,'W Sites'!$F$6)+1)/DAY(EOMONTH(C336,0))</f>
        <v>1</v>
      </c>
      <c r="G336" s="145" t="n">
        <f aca="false">'W Sites'!$G$6*MAX(0,EOMONTH(C336,0)-MAX(C336,'W Sites'!$F$6,'W Assumptions'!$D$58)+1)/DAY(EOMONTH(C336,0))</f>
        <v>1</v>
      </c>
      <c r="H336" s="81" t="n">
        <f aca="false">'W Sites'!$D$45*INDEX('W Sites'!$E$65:$E$76,MONTH(C336),1)/SUM('W Sites'!$E$65:$E$76)*F336*(1+'W Sites'!$D$56)^(D336-1)*INDEX('W Assumptions'!$D$7:$F$7,1,D336)</f>
        <v>6584.296</v>
      </c>
      <c r="I336" s="81" t="n">
        <f aca="false">H336*'W Sites'!$D$46/(1+'W Sites'!$D$54*'W Assumptions'!$D$39)*INDEX('W Assumptions'!$D$12:$F$12,1,D336)</f>
        <v>362136.28</v>
      </c>
      <c r="J336" s="81" t="n">
        <f aca="false">H336*SUM('W Sites'!$D$47:$D$49)/(1+'W Sites'!$D$54*'W Assumptions'!$D$39)*INDEX('W Assumptions'!$D$12:$F$12,1,D336)</f>
        <v>197528.88</v>
      </c>
      <c r="K336" s="81" t="n">
        <f aca="false">SUM('W Sites'!$D$50:$D$52)/12*F336*(1+'W Sites'!$D$56)^(D336-1)*INDEX('W Assumptions'!$D$7:$F$7,1,D336)*INDEX('W Assumptions'!$D$12:$F$12,1,D336)/(1+'W Sites'!$D$54*'W Assumptions'!$D$39)</f>
        <v>37453.3333333333</v>
      </c>
      <c r="L336" s="81" t="n">
        <f aca="false">SUM(I336:K336)</f>
        <v>597118.493333334</v>
      </c>
      <c r="M336" s="81" t="n">
        <f aca="false">('W Site Costs'!$I$6+INDEX('W Sites'!$F$65:$F$76,MONTH(C336),1)*'W Site Costs'!$V$6)*F336*(1+'W Sites'!$D$58)^(D336-1)*INDEX('W Assumptions'!$D$22:$F$22,1,D336)</f>
        <v>176300.8</v>
      </c>
      <c r="N336" s="81" t="n">
        <f aca="false">'W Site Costs'!$J$6*F336*INDEX('W Assumptions'!$D$35:$F$35,1,D336)*INDEX('W Assumptions'!$D$22:$F$22,1,D336)</f>
        <v>16224</v>
      </c>
      <c r="O336" s="81" t="n">
        <f aca="false">L336*'W Site Costs'!$K$6</f>
        <v>0</v>
      </c>
      <c r="P336" s="81" t="n">
        <f aca="false">(SUM('W Site Costs'!$L$6:$Q$6)+INDEX('W Sites'!$F$65:$F$76,MONTH(C336),1)*'W Site Costs'!$W$6)*F336*(1+'W Sites'!$D$58)^(D336-1)*INDEX('W Assumptions'!$D$22:$F$22,1,D336)</f>
        <v>115731.2</v>
      </c>
      <c r="Q336" s="81" t="n">
        <f aca="false">('W Site Costs'!$X$6+INDEX('W Sites'!$F$65:$F$76,MONTH(C336),1)*'W Site Costs'!$Y$6)*F336*(1+'W Sites'!$D$58)^(D336-1)*INDEX('W Assumptions'!$D$17:$F$17,1,D336)</f>
        <v>27040</v>
      </c>
      <c r="R336" s="112" t="n">
        <f aca="false">L336*'W Sites'!$M$6</f>
        <v>0</v>
      </c>
      <c r="S336" s="81" t="n">
        <f aca="false">SUM(M336:R336)</f>
        <v>335296</v>
      </c>
      <c r="T336" s="81" t="n">
        <f aca="false">L336-S336</f>
        <v>261822.493333334</v>
      </c>
      <c r="U336" s="81" t="n">
        <f aca="false">IF(C336='W Budget &amp; Owners'!$I$6,'W Budget &amp; Owners'!$F$6*'W Sites'!$G$6,0)</f>
        <v>0</v>
      </c>
      <c r="V336" s="81" t="n">
        <f aca="false">'W Sites'!$G$6*'W Budget &amp; Owners'!$E$6*INDEX('W Assumptions'!$D$27:$F$27,1,D336)*(IF(C336='W Budget &amp; Owners'!$I$6,'W Assumptions'!$D$65,0)+IF(C336=DATE(YEAR('W Sites'!$F$6),MONTH('W Sites'!$F$6),1),1-'W Assumptions'!$D$65,0))+'W Sites'!$G$6*'W Budget &amp; Owners'!$E$6*IF(C336=DATE(2027,9,1),'W Assumptions'!$D$67,IF(C336=DATE(2028,9,1),'W Assumptions'!$D$69,0))</f>
        <v>0</v>
      </c>
      <c r="W336" s="81" t="n">
        <f aca="false">IF(((YEAR(C336)-YEAR('W Sites'!$F$6))*12+MONTH(C336)-MONTH('W Sites'!$F$6))&lt;'W Budget &amp; Owners'!$H$6,'W Budget &amp; Owners'!$E$6/'W Budget &amp; Owners'!$H$6*F336,0)+IF(C336&gt;=DATE(2027,9,1),'W Budget &amp; Owners'!$E$6*'W Assumptions'!$D$67/'W Budget &amp; Owners'!$H$6*F336,0)+IF(C336&gt;=DATE(2028,9,1),'W Budget &amp; Owners'!$E$6*'W Assumptions'!$D$69/'W Budget &amp; Owners'!$H$6*F336,0)</f>
        <v>6125</v>
      </c>
      <c r="X336" s="81" t="n">
        <f aca="false">IF(C336='W Budget &amp; Owners'!$I$6,'W Budget &amp; Owners'!$G$6*'W Sites'!$G$6,0)</f>
        <v>0</v>
      </c>
      <c r="Y336" s="112" t="n">
        <f aca="false">IF(SUM($G$336:$G$345)=0,0,'W Fees &amp; KPI'!$Q$39*G336/SUM($G$336:$G$345))</f>
        <v>3232.75026724072</v>
      </c>
      <c r="Z336" s="119" t="n">
        <f aca="false">IF(SUM($G$336:$G$345)=0,0,SUM('W Fees &amp; KPI'!$J$39,'W Fees &amp; KPI'!$M$39)*G336/SUM($G$336:$G$345))</f>
        <v>5223.75</v>
      </c>
      <c r="AA336" s="117" t="n">
        <f aca="false">T336-U336-Z336-Y336</f>
        <v>253365.993066093</v>
      </c>
      <c r="AB336" s="119" t="n">
        <f aca="false">IF('W Fees &amp; KPI'!$D$39=0,0,T336-U336-Z336)</f>
        <v>256598.743333334</v>
      </c>
    </row>
    <row r="337" customFormat="false" ht="21" hidden="false" customHeight="true" outlineLevel="0" collapsed="false">
      <c r="C337" s="144" t="n">
        <f aca="false">47270</f>
        <v>47270</v>
      </c>
      <c r="D337" s="81" t="n">
        <f aca="false">3</f>
        <v>3</v>
      </c>
      <c r="E337" s="81" t="str">
        <f aca="false">'W Sites'!C7</f>
        <v>S02</v>
      </c>
      <c r="F337" s="145" t="n">
        <f aca="false">'W Sites'!$G$7*MAX(0,EOMONTH(C337,0)-MAX(C337,'W Sites'!$F$7)+1)/DAY(EOMONTH(C337,0))</f>
        <v>1</v>
      </c>
      <c r="G337" s="145" t="n">
        <f aca="false">'W Sites'!$G$7*MAX(0,EOMONTH(C337,0)-MAX(C337,'W Sites'!$F$7,'W Assumptions'!$D$58)+1)/DAY(EOMONTH(C337,0))</f>
        <v>1</v>
      </c>
      <c r="H337" s="81" t="n">
        <f aca="false">'W Sites'!$H$7*F337*'W Sites'!$I$7*IF(((YEAR(C337)-YEAR('W Sites'!$F$7))*12+MONTH(C337)-MONTH('W Sites'!$F$7))=0,'W Assumptions'!$D$62,IF(((YEAR(C337)-YEAR('W Sites'!$F$7))*12+MONTH(C337)-MONTH('W Sites'!$F$7))=1,'W Assumptions'!$D$63,1))*INDEX('W Assumptions'!$D$7:$F$7,1,D337)*INDEX('W Assumptions'!$D$32:$F$32,1,D337)*INDEX('W Assumptions'!$D$80:$D$91,MONTH(C337),1)/AVERAGE('W Assumptions'!$D$80:$D$91)</f>
        <v>1995.84</v>
      </c>
      <c r="I337" s="81" t="n">
        <f aca="false">H337*'W Sites'!$J$7/(1+'W Assumptions'!$D$39)*INDEX('W Assumptions'!$D$12:$F$12,1,D337)*INDEX('W Assumptions'!$D$33:$F$33,1,D337)</f>
        <v>64442.202573913</v>
      </c>
      <c r="J337" s="81" t="n">
        <f aca="false">H337*'W Sites'!$K$7/(1+'W Assumptions'!$D$39)*INDEX('W Assumptions'!$D$12:$F$12,1,D337)*INDEX('W Assumptions'!$D$33:$F$33,1,D337)</f>
        <v>5523.61736347826</v>
      </c>
      <c r="K337" s="81" t="n">
        <f aca="false">'W Sites'!$L$7*F337*IF(((YEAR(C337)-YEAR('W Sites'!$F$7))*12+MONTH(C337)-MONTH('W Sites'!$F$7))=0,'W Assumptions'!$D$62,IF(((YEAR(C337)-YEAR('W Sites'!$F$7))*12+MONTH(C337)-MONTH('W Sites'!$F$7))=1,'W Assumptions'!$D$63,1))*INDEX('W Assumptions'!$D$7:$F$7,1,D337)*INDEX('W Assumptions'!$D$32:$F$32,1,D337)</f>
        <v>5940</v>
      </c>
      <c r="L337" s="81" t="n">
        <f aca="false">SUM(I337:K337)</f>
        <v>75905.8199373913</v>
      </c>
      <c r="M337" s="81" t="n">
        <f aca="false">'W Site Costs'!$I$7*F337*INDEX('W Assumptions'!$D$34:$F$34,1,D337)*INDEX('W Assumptions'!$D$22:$F$22,1,D337)</f>
        <v>35776.125</v>
      </c>
      <c r="N337" s="81" t="n">
        <f aca="false">'W Site Costs'!$J$7*F337*INDEX('W Assumptions'!$D$35:$F$35,1,D337)*INDEX('W Assumptions'!$D$22:$F$22,1,D337)</f>
        <v>0</v>
      </c>
      <c r="O337" s="81" t="n">
        <f aca="false">L337*'W Site Costs'!$K$7</f>
        <v>11385.8729906087</v>
      </c>
      <c r="P337" s="81" t="n">
        <f aca="false">SUM('W Site Costs'!$L$7:$Q$7)*F337*INDEX('W Assumptions'!$D$35:$F$35,1,D337)*INDEX('W Assumptions'!$D$22:$F$22,1,D337)</f>
        <v>12654.72</v>
      </c>
      <c r="Q337" s="81" t="n">
        <f aca="false">L337*'W Site Costs'!$R$7*INDEX('W Assumptions'!$D$17:$F$17,1,D337)</f>
        <v>4554.34919624348</v>
      </c>
      <c r="R337" s="112" t="n">
        <f aca="false">L337*'W Sites'!$M$7</f>
        <v>0</v>
      </c>
      <c r="S337" s="81" t="n">
        <f aca="false">SUM(M337:R337)</f>
        <v>64371.0671868522</v>
      </c>
      <c r="T337" s="81" t="n">
        <f aca="false">L337-S337</f>
        <v>11534.7527505391</v>
      </c>
      <c r="U337" s="81" t="n">
        <f aca="false">IF(C337='W Budget &amp; Owners'!$I$7,'W Budget &amp; Owners'!$F$7*'W Sites'!$G$7,0)</f>
        <v>0</v>
      </c>
      <c r="V337" s="81" t="n">
        <f aca="false">'W Sites'!$G$7*'W Budget &amp; Owners'!$E$7*INDEX('W Assumptions'!$D$27:$F$27,1,D337)*(IF(C337='W Budget &amp; Owners'!$I$7,'W Assumptions'!$D$65,0)+IF(C337=DATE(YEAR('W Sites'!$F$7),MONTH('W Sites'!$F$7),1),1-'W Assumptions'!$D$65,0))+'W Sites'!$G$7*'W Budget &amp; Owners'!$E$7*IF(C337=DATE(2027,9,1),'W Assumptions'!$D$67,IF(C337=DATE(2028,9,1),'W Assumptions'!$D$69,0))</f>
        <v>0</v>
      </c>
      <c r="W337" s="81" t="n">
        <f aca="false">IF(((YEAR(C337)-YEAR('W Sites'!$F$7))*12+MONTH(C337)-MONTH('W Sites'!$F$7))&lt;'W Budget &amp; Owners'!$H$7,'W Budget &amp; Owners'!$E$7/'W Budget &amp; Owners'!$H$7*F337,0)+IF(C337&gt;=DATE(2027,9,1),'W Budget &amp; Owners'!$E$7*'W Assumptions'!$D$67/'W Budget &amp; Owners'!$H$7*F337,0)+IF(C337&gt;=DATE(2028,9,1),'W Budget &amp; Owners'!$E$7*'W Assumptions'!$D$69/'W Budget &amp; Owners'!$H$7*F337,0)</f>
        <v>1400</v>
      </c>
      <c r="X337" s="81" t="n">
        <f aca="false">IF(C337='W Budget &amp; Owners'!$I$7,'W Budget &amp; Owners'!$G$7*'W Sites'!$G$7,0)</f>
        <v>0</v>
      </c>
      <c r="Y337" s="112" t="n">
        <f aca="false">IF(SUM($G$336:$G$345)=0,0,'W Fees &amp; KPI'!$Q$39*G337/SUM($G$336:$G$345))</f>
        <v>3232.75026724072</v>
      </c>
      <c r="Z337" s="119" t="n">
        <f aca="false">IF(SUM($G$336:$G$345)=0,0,SUM('W Fees &amp; KPI'!$J$39,'W Fees &amp; KPI'!$M$39)*G337/SUM($G$336:$G$345))</f>
        <v>5223.75</v>
      </c>
      <c r="AA337" s="117" t="n">
        <f aca="false">T337-U337-Z337-Y337</f>
        <v>3078.2524832984</v>
      </c>
      <c r="AB337" s="119" t="n">
        <f aca="false">IF('W Fees &amp; KPI'!$D$39=0,0,T337-U337-Z337)</f>
        <v>6311.00275053912</v>
      </c>
    </row>
    <row r="338" customFormat="false" ht="21" hidden="false" customHeight="true" outlineLevel="0" collapsed="false">
      <c r="C338" s="144" t="n">
        <f aca="false">47270</f>
        <v>47270</v>
      </c>
      <c r="D338" s="81" t="n">
        <f aca="false">3</f>
        <v>3</v>
      </c>
      <c r="E338" s="81" t="str">
        <f aca="false">'W Sites'!C8</f>
        <v>S03</v>
      </c>
      <c r="F338" s="145" t="n">
        <f aca="false">'W Sites'!$G$8*MAX(0,EOMONTH(C338,0)-MAX(C338,'W Sites'!$F$8)+1)/DAY(EOMONTH(C338,0))</f>
        <v>1</v>
      </c>
      <c r="G338" s="145" t="n">
        <f aca="false">'W Sites'!$G$8*MAX(0,EOMONTH(C338,0)-MAX(C338,'W Sites'!$F$8,'W Assumptions'!$D$58)+1)/DAY(EOMONTH(C338,0))</f>
        <v>1</v>
      </c>
      <c r="H338" s="81" t="n">
        <f aca="false">'W Sites'!$H$8*F338*'W Sites'!$I$8*IF(((YEAR(C338)-YEAR('W Sites'!$F$8))*12+MONTH(C338)-MONTH('W Sites'!$F$8))=0,'W Assumptions'!$D$62,IF(((YEAR(C338)-YEAR('W Sites'!$F$8))*12+MONTH(C338)-MONTH('W Sites'!$F$8))=1,'W Assumptions'!$D$63,1))*INDEX('W Assumptions'!$D$7:$F$7,1,D338)*INDEX('W Assumptions'!$D$32:$F$32,1,D338)*INDEX('W Assumptions'!$D$80:$D$91,MONTH(C338),1)/AVERAGE('W Assumptions'!$D$80:$D$91)</f>
        <v>2694.9698630137</v>
      </c>
      <c r="I338" s="81" t="n">
        <f aca="false">H338*'W Sites'!$J$8/(1+'W Assumptions'!$D$39)*INDEX('W Assumptions'!$D$12:$F$12,1,D338)*INDEX('W Assumptions'!$D$33:$F$33,1,D338)</f>
        <v>161600.938520548</v>
      </c>
      <c r="J338" s="81" t="n">
        <f aca="false">H338*'W Sites'!$K$8/(1+'W Assumptions'!$D$39)*INDEX('W Assumptions'!$D$12:$F$12,1,D338)*INDEX('W Assumptions'!$D$33:$F$33,1,D338)</f>
        <v>19889.3462794521</v>
      </c>
      <c r="K338" s="81" t="n">
        <f aca="false">'W Sites'!$L$8*F338*IF(((YEAR(C338)-YEAR('W Sites'!$F$8))*12+MONTH(C338)-MONTH('W Sites'!$F$8))=0,'W Assumptions'!$D$62,IF(((YEAR(C338)-YEAR('W Sites'!$F$8))*12+MONTH(C338)-MONTH('W Sites'!$F$8))=1,'W Assumptions'!$D$63,1))*INDEX('W Assumptions'!$D$7:$F$7,1,D338)*INDEX('W Assumptions'!$D$32:$F$32,1,D338)</f>
        <v>23760</v>
      </c>
      <c r="L338" s="81" t="n">
        <f aca="false">SUM(I338:K338)</f>
        <v>205250.2848</v>
      </c>
      <c r="M338" s="81" t="n">
        <f aca="false">'W Site Costs'!$I$8*F338*INDEX('W Assumptions'!$D$34:$F$34,1,D338)*INDEX('W Assumptions'!$D$22:$F$22,1,D338)</f>
        <v>52948.665</v>
      </c>
      <c r="N338" s="81" t="n">
        <f aca="false">'W Site Costs'!$J$8*F338*INDEX('W Assumptions'!$D$35:$F$35,1,D338)*INDEX('W Assumptions'!$D$22:$F$22,1,D338)</f>
        <v>37856</v>
      </c>
      <c r="O338" s="81" t="n">
        <f aca="false">L338*'W Site Costs'!$K$8</f>
        <v>0</v>
      </c>
      <c r="P338" s="81" t="n">
        <f aca="false">SUM('W Site Costs'!$L$8:$Q$8)*F338*INDEX('W Assumptions'!$D$35:$F$35,1,D338)*INDEX('W Assumptions'!$D$22:$F$22,1,D338)</f>
        <v>21091.2</v>
      </c>
      <c r="Q338" s="81" t="n">
        <f aca="false">L338*'W Site Costs'!$R$8*INDEX('W Assumptions'!$D$17:$F$17,1,D338)</f>
        <v>16420.022784</v>
      </c>
      <c r="R338" s="112" t="n">
        <f aca="false">L338*'W Sites'!$M$8</f>
        <v>0</v>
      </c>
      <c r="S338" s="81" t="n">
        <f aca="false">SUM(M338:R338)</f>
        <v>128315.887784</v>
      </c>
      <c r="T338" s="81" t="n">
        <f aca="false">L338-S338</f>
        <v>76934.3970160001</v>
      </c>
      <c r="U338" s="81" t="n">
        <f aca="false">IF(C338='W Budget &amp; Owners'!$I$8,'W Budget &amp; Owners'!$F$8*'W Sites'!$G$8,0)</f>
        <v>0</v>
      </c>
      <c r="V338" s="81" t="n">
        <f aca="false">'W Sites'!$G$8*'W Budget &amp; Owners'!$E$8*INDEX('W Assumptions'!$D$27:$F$27,1,D338)*(IF(C338='W Budget &amp; Owners'!$I$8,'W Assumptions'!$D$65,0)+IF(C338=DATE(YEAR('W Sites'!$F$8),MONTH('W Sites'!$F$8),1),1-'W Assumptions'!$D$65,0))+'W Sites'!$G$8*'W Budget &amp; Owners'!$E$8*IF(C338=DATE(2027,9,1),'W Assumptions'!$D$67,IF(C338=DATE(2028,9,1),'W Assumptions'!$D$69,0))</f>
        <v>0</v>
      </c>
      <c r="W338" s="81" t="n">
        <f aca="false">IF(((YEAR(C338)-YEAR('W Sites'!$F$8))*12+MONTH(C338)-MONTH('W Sites'!$F$8))&lt;'W Budget &amp; Owners'!$H$8,'W Budget &amp; Owners'!$E$8/'W Budget &amp; Owners'!$H$8*F338,0)+IF(C338&gt;=DATE(2027,9,1),'W Budget &amp; Owners'!$E$8*'W Assumptions'!$D$67/'W Budget &amp; Owners'!$H$8*F338,0)+IF(C338&gt;=DATE(2028,9,1),'W Budget &amp; Owners'!$E$8*'W Assumptions'!$D$69/'W Budget &amp; Owners'!$H$8*F338,0)</f>
        <v>10500</v>
      </c>
      <c r="X338" s="81" t="n">
        <f aca="false">IF(C338='W Budget &amp; Owners'!$I$8,'W Budget &amp; Owners'!$G$8*'W Sites'!$G$8,0)</f>
        <v>0</v>
      </c>
      <c r="Y338" s="112" t="n">
        <f aca="false">IF(SUM($G$336:$G$345)=0,0,'W Fees &amp; KPI'!$Q$39*G338/SUM($G$336:$G$345))</f>
        <v>3232.75026724072</v>
      </c>
      <c r="Z338" s="119" t="n">
        <f aca="false">IF(SUM($G$336:$G$345)=0,0,SUM('W Fees &amp; KPI'!$J$39,'W Fees &amp; KPI'!$M$39)*G338/SUM($G$336:$G$345))</f>
        <v>5223.75</v>
      </c>
      <c r="AA338" s="117" t="n">
        <f aca="false">T338-U338-Z338-Y338</f>
        <v>68477.8967487594</v>
      </c>
      <c r="AB338" s="119" t="n">
        <f aca="false">IF('W Fees &amp; KPI'!$D$39=0,0,T338-U338-Z338)</f>
        <v>71710.6470160001</v>
      </c>
    </row>
    <row r="339" customFormat="false" ht="21" hidden="false" customHeight="true" outlineLevel="0" collapsed="false">
      <c r="C339" s="144" t="n">
        <f aca="false">47270</f>
        <v>47270</v>
      </c>
      <c r="D339" s="81" t="n">
        <f aca="false">3</f>
        <v>3</v>
      </c>
      <c r="E339" s="81" t="str">
        <f aca="false">'W Sites'!C9</f>
        <v>S04</v>
      </c>
      <c r="F339" s="145" t="n">
        <f aca="false">'W Sites'!$G$9*MAX(0,EOMONTH(C339,0)-MAX(C339,'W Sites'!$F$9)+1)/DAY(EOMONTH(C339,0))</f>
        <v>1</v>
      </c>
      <c r="G339" s="145" t="n">
        <f aca="false">'W Sites'!$G$9*MAX(0,EOMONTH(C339,0)-MAX(C339,'W Sites'!$F$9,'W Assumptions'!$D$58)+1)/DAY(EOMONTH(C339,0))</f>
        <v>1</v>
      </c>
      <c r="H339" s="81" t="n">
        <f aca="false">'W Sites'!$H$9*F339*'W Sites'!$I$9*IF(((YEAR(C339)-YEAR('W Sites'!$F$9))*12+MONTH(C339)-MONTH('W Sites'!$F$9))=0,'W Assumptions'!$D$62,IF(((YEAR(C339)-YEAR('W Sites'!$F$9))*12+MONTH(C339)-MONTH('W Sites'!$F$9))=1,'W Assumptions'!$D$63,1))*INDEX('W Assumptions'!$D$7:$F$7,1,D339)*INDEX('W Assumptions'!$D$32:$F$32,1,D339)*INDEX('W Assumptions'!$D$80:$D$91,MONTH(C339),1)/AVERAGE('W Assumptions'!$D$80:$D$91)</f>
        <v>1897.5</v>
      </c>
      <c r="I339" s="81" t="n">
        <f aca="false">H339*'W Sites'!$J$9/(1+'W Assumptions'!$D$39)*INDEX('W Assumptions'!$D$12:$F$12,1,D339)*INDEX('W Assumptions'!$D$33:$F$33,1,D339)</f>
        <v>113781.525</v>
      </c>
      <c r="J339" s="81" t="n">
        <f aca="false">H339*'W Sites'!$K$9/(1+'W Assumptions'!$D$39)*INDEX('W Assumptions'!$D$12:$F$12,1,D339)*INDEX('W Assumptions'!$D$33:$F$33,1,D339)</f>
        <v>12253.395</v>
      </c>
      <c r="K339" s="81" t="n">
        <f aca="false">'W Sites'!$L$9*F339*IF(((YEAR(C339)-YEAR('W Sites'!$F$9))*12+MONTH(C339)-MONTH('W Sites'!$F$9))=0,'W Assumptions'!$D$62,IF(((YEAR(C339)-YEAR('W Sites'!$F$9))*12+MONTH(C339)-MONTH('W Sites'!$F$9))=1,'W Assumptions'!$D$63,1))*INDEX('W Assumptions'!$D$7:$F$7,1,D339)*INDEX('W Assumptions'!$D$32:$F$32,1,D339)</f>
        <v>17820</v>
      </c>
      <c r="L339" s="81" t="n">
        <f aca="false">SUM(I339:K339)</f>
        <v>143854.92</v>
      </c>
      <c r="M339" s="81" t="n">
        <f aca="false">'W Site Costs'!$I$9*F339*INDEX('W Assumptions'!$D$34:$F$34,1,D339)*INDEX('W Assumptions'!$D$22:$F$22,1,D339)</f>
        <v>41630.4</v>
      </c>
      <c r="N339" s="81" t="n">
        <f aca="false">'W Site Costs'!$J$9*F339*INDEX('W Assumptions'!$D$35:$F$35,1,D339)*INDEX('W Assumptions'!$D$22:$F$22,1,D339)</f>
        <v>23795.2</v>
      </c>
      <c r="O339" s="81" t="n">
        <f aca="false">L339*'W Site Costs'!$K$9</f>
        <v>0</v>
      </c>
      <c r="P339" s="81" t="n">
        <f aca="false">SUM('W Site Costs'!$L$9:$Q$9)*F339*INDEX('W Assumptions'!$D$35:$F$35,1,D339)*INDEX('W Assumptions'!$D$22:$F$22,1,D339)</f>
        <v>16764.8</v>
      </c>
      <c r="Q339" s="81" t="n">
        <f aca="false">L339*'W Site Costs'!$R$9*INDEX('W Assumptions'!$D$17:$F$17,1,D339)</f>
        <v>11508.3936</v>
      </c>
      <c r="R339" s="112" t="n">
        <f aca="false">L339*'W Sites'!$M$9</f>
        <v>0</v>
      </c>
      <c r="S339" s="81" t="n">
        <f aca="false">SUM(M339:R339)</f>
        <v>93698.7936</v>
      </c>
      <c r="T339" s="81" t="n">
        <f aca="false">L339-S339</f>
        <v>50156.1264</v>
      </c>
      <c r="U339" s="81" t="n">
        <f aca="false">IF(C339='W Budget &amp; Owners'!$I$9,'W Budget &amp; Owners'!$F$9*'W Sites'!$G$9,0)</f>
        <v>0</v>
      </c>
      <c r="V339" s="81" t="n">
        <f aca="false">'W Sites'!$G$9*'W Budget &amp; Owners'!$E$9*INDEX('W Assumptions'!$D$27:$F$27,1,D339)*(IF(C339='W Budget &amp; Owners'!$I$9,'W Assumptions'!$D$65,0)+IF(C339=DATE(YEAR('W Sites'!$F$9),MONTH('W Sites'!$F$9),1),1-'W Assumptions'!$D$65,0))+'W Sites'!$G$9*'W Budget &amp; Owners'!$E$9*IF(C339=DATE(2027,9,1),'W Assumptions'!$D$67,IF(C339=DATE(2028,9,1),'W Assumptions'!$D$69,0))</f>
        <v>0</v>
      </c>
      <c r="W339" s="81" t="n">
        <f aca="false">IF(((YEAR(C339)-YEAR('W Sites'!$F$9))*12+MONTH(C339)-MONTH('W Sites'!$F$9))&lt;'W Budget &amp; Owners'!$H$9,'W Budget &amp; Owners'!$E$9/'W Budget &amp; Owners'!$H$9*F339,0)+IF(C339&gt;=DATE(2027,9,1),'W Budget &amp; Owners'!$E$9*'W Assumptions'!$D$67/'W Budget &amp; Owners'!$H$9*F339,0)+IF(C339&gt;=DATE(2028,9,1),'W Budget &amp; Owners'!$E$9*'W Assumptions'!$D$69/'W Budget &amp; Owners'!$H$9*F339,0)</f>
        <v>8750</v>
      </c>
      <c r="X339" s="81" t="n">
        <f aca="false">IF(C339='W Budget &amp; Owners'!$I$9,'W Budget &amp; Owners'!$G$9*'W Sites'!$G$9,0)</f>
        <v>0</v>
      </c>
      <c r="Y339" s="112" t="n">
        <f aca="false">IF(SUM($G$336:$G$345)=0,0,'W Fees &amp; KPI'!$Q$39*G339/SUM($G$336:$G$345))</f>
        <v>3232.75026724072</v>
      </c>
      <c r="Z339" s="119" t="n">
        <f aca="false">IF(SUM($G$336:$G$345)=0,0,SUM('W Fees &amp; KPI'!$J$39,'W Fees &amp; KPI'!$M$39)*G339/SUM($G$336:$G$345))</f>
        <v>5223.75</v>
      </c>
      <c r="AA339" s="117" t="n">
        <f aca="false">T339-U339-Z339-Y339</f>
        <v>41699.6261327593</v>
      </c>
      <c r="AB339" s="119" t="n">
        <f aca="false">IF('W Fees &amp; KPI'!$D$39=0,0,T339-U339-Z339)</f>
        <v>44932.3764</v>
      </c>
    </row>
    <row r="340" customFormat="false" ht="21" hidden="false" customHeight="true" outlineLevel="0" collapsed="false">
      <c r="C340" s="144" t="n">
        <f aca="false">47270</f>
        <v>47270</v>
      </c>
      <c r="D340" s="81" t="n">
        <f aca="false">3</f>
        <v>3</v>
      </c>
      <c r="E340" s="81" t="str">
        <f aca="false">'W Sites'!C10</f>
        <v>S05</v>
      </c>
      <c r="F340" s="145" t="n">
        <f aca="false">'W Sites'!$G$10*MAX(0,EOMONTH(C340,0)-MAX(C340,'W Sites'!$F$10)+1)/DAY(EOMONTH(C340,0))</f>
        <v>1</v>
      </c>
      <c r="G340" s="145" t="n">
        <f aca="false">'W Sites'!$G$10*MAX(0,EOMONTH(C340,0)-MAX(C340,'W Sites'!$F$10,'W Assumptions'!$D$58)+1)/DAY(EOMONTH(C340,0))</f>
        <v>1</v>
      </c>
      <c r="H340" s="81" t="n">
        <f aca="false">'W Sites'!$H$10*F340*'W Sites'!$I$10*IF(((YEAR(C340)-YEAR('W Sites'!$F$10))*12+MONTH(C340)-MONTH('W Sites'!$F$10))=0,'W Assumptions'!$D$62,IF(((YEAR(C340)-YEAR('W Sites'!$F$10))*12+MONTH(C340)-MONTH('W Sites'!$F$10))=1,'W Assumptions'!$D$63,1))*INDEX('W Assumptions'!$D$7:$F$7,1,D340)*INDEX('W Assumptions'!$D$32:$F$32,1,D340)*INDEX('W Assumptions'!$D$80:$D$91,MONTH(C340),1)/AVERAGE('W Assumptions'!$D$80:$D$91)</f>
        <v>2425.47287671233</v>
      </c>
      <c r="I340" s="81" t="n">
        <f aca="false">H340*'W Sites'!$J$10/(1+'W Assumptions'!$D$39)*INDEX('W Assumptions'!$D$12:$F$12,1,D340)*INDEX('W Assumptions'!$D$33:$F$33,1,D340)</f>
        <v>145440.844668493</v>
      </c>
      <c r="J340" s="81" t="n">
        <f aca="false">H340*'W Sites'!$K$10/(1+'W Assumptions'!$D$39)*INDEX('W Assumptions'!$D$12:$F$12,1,D340)*INDEX('W Assumptions'!$D$33:$F$33,1,D340)</f>
        <v>17900.4116515069</v>
      </c>
      <c r="K340" s="81" t="n">
        <f aca="false">'W Sites'!$L$10*F340*IF(((YEAR(C340)-YEAR('W Sites'!$F$10))*12+MONTH(C340)-MONTH('W Sites'!$F$10))=0,'W Assumptions'!$D$62,IF(((YEAR(C340)-YEAR('W Sites'!$F$10))*12+MONTH(C340)-MONTH('W Sites'!$F$10))=1,'W Assumptions'!$D$63,1))*INDEX('W Assumptions'!$D$7:$F$7,1,D340)*INDEX('W Assumptions'!$D$32:$F$32,1,D340)</f>
        <v>21384</v>
      </c>
      <c r="L340" s="81" t="n">
        <f aca="false">SUM(I340:K340)</f>
        <v>184725.25632</v>
      </c>
      <c r="M340" s="81" t="n">
        <f aca="false">'W Site Costs'!$I$10*F340*INDEX('W Assumptions'!$D$34:$F$34,1,D340)*INDEX('W Assumptions'!$D$22:$F$22,1,D340)</f>
        <v>52948.665</v>
      </c>
      <c r="N340" s="81" t="n">
        <f aca="false">'W Site Costs'!$J$10*F340*INDEX('W Assumptions'!$D$35:$F$35,1,D340)*INDEX('W Assumptions'!$D$22:$F$22,1,D340)</f>
        <v>32448</v>
      </c>
      <c r="O340" s="81" t="n">
        <f aca="false">L340*'W Site Costs'!$K$10</f>
        <v>0</v>
      </c>
      <c r="P340" s="81" t="n">
        <f aca="false">SUM('W Site Costs'!$L$10:$Q$10)*F340*INDEX('W Assumptions'!$D$35:$F$35,1,D340)*INDEX('W Assumptions'!$D$22:$F$22,1,D340)</f>
        <v>20550.4</v>
      </c>
      <c r="Q340" s="81" t="n">
        <f aca="false">L340*'W Site Costs'!$R$10*INDEX('W Assumptions'!$D$17:$F$17,1,D340)</f>
        <v>14778.0205056</v>
      </c>
      <c r="R340" s="112" t="n">
        <f aca="false">L340*'W Sites'!$M$10</f>
        <v>0</v>
      </c>
      <c r="S340" s="81" t="n">
        <f aca="false">SUM(M340:R340)</f>
        <v>120725.0855056</v>
      </c>
      <c r="T340" s="81" t="n">
        <f aca="false">L340-S340</f>
        <v>64000.1708144</v>
      </c>
      <c r="U340" s="81" t="n">
        <f aca="false">IF(C340='W Budget &amp; Owners'!$I$10,'W Budget &amp; Owners'!$F$10*'W Sites'!$G$10,0)</f>
        <v>0</v>
      </c>
      <c r="V340" s="81" t="n">
        <f aca="false">'W Sites'!$G$10*'W Budget &amp; Owners'!$E$10*INDEX('W Assumptions'!$D$27:$F$27,1,D340)*(IF(C340='W Budget &amp; Owners'!$I$10,'W Assumptions'!$D$65,0)+IF(C340=DATE(YEAR('W Sites'!$F$10),MONTH('W Sites'!$F$10),1),1-'W Assumptions'!$D$65,0))+'W Sites'!$G$10*'W Budget &amp; Owners'!$E$10*IF(C340=DATE(2027,9,1),'W Assumptions'!$D$67,IF(C340=DATE(2028,9,1),'W Assumptions'!$D$69,0))</f>
        <v>0</v>
      </c>
      <c r="W340" s="81" t="n">
        <f aca="false">IF(((YEAR(C340)-YEAR('W Sites'!$F$10))*12+MONTH(C340)-MONTH('W Sites'!$F$10))&lt;'W Budget &amp; Owners'!$H$10,'W Budget &amp; Owners'!$E$10/'W Budget &amp; Owners'!$H$10*F340,0)+IF(C340&gt;=DATE(2027,9,1),'W Budget &amp; Owners'!$E$10*'W Assumptions'!$D$67/'W Budget &amp; Owners'!$H$10*F340,0)+IF(C340&gt;=DATE(2028,9,1),'W Budget &amp; Owners'!$E$10*'W Assumptions'!$D$69/'W Budget &amp; Owners'!$H$10*F340,0)</f>
        <v>13125</v>
      </c>
      <c r="X340" s="81" t="n">
        <f aca="false">IF(C340='W Budget &amp; Owners'!$I$10,'W Budget &amp; Owners'!$G$10*'W Sites'!$G$10,0)</f>
        <v>0</v>
      </c>
      <c r="Y340" s="112" t="n">
        <f aca="false">IF(SUM($G$336:$G$345)=0,0,'W Fees &amp; KPI'!$Q$39*G340/SUM($G$336:$G$345))</f>
        <v>3232.75026724072</v>
      </c>
      <c r="Z340" s="119" t="n">
        <f aca="false">IF(SUM($G$336:$G$345)=0,0,SUM('W Fees &amp; KPI'!$J$39,'W Fees &amp; KPI'!$M$39)*G340/SUM($G$336:$G$345))</f>
        <v>5223.75</v>
      </c>
      <c r="AA340" s="117" t="n">
        <f aca="false">T340-U340-Z340-Y340</f>
        <v>55543.6705471593</v>
      </c>
      <c r="AB340" s="119" t="n">
        <f aca="false">IF('W Fees &amp; KPI'!$D$39=0,0,T340-U340-Z340)</f>
        <v>58776.4208144</v>
      </c>
    </row>
    <row r="341" customFormat="false" ht="21" hidden="false" customHeight="true" outlineLevel="0" collapsed="false">
      <c r="C341" s="144" t="n">
        <f aca="false">47270</f>
        <v>47270</v>
      </c>
      <c r="D341" s="81" t="n">
        <f aca="false">3</f>
        <v>3</v>
      </c>
      <c r="E341" s="81" t="str">
        <f aca="false">'W Sites'!C11</f>
        <v>S06</v>
      </c>
      <c r="F341" s="145" t="n">
        <f aca="false">'W Sites'!$G$11*MAX(0,EOMONTH(C341,0)-MAX(C341,'W Sites'!$F$11)+1)/DAY(EOMONTH(C341,0))</f>
        <v>1</v>
      </c>
      <c r="G341" s="145" t="n">
        <f aca="false">'W Sites'!$G$11*MAX(0,EOMONTH(C341,0)-MAX(C341,'W Sites'!$F$11,'W Assumptions'!$D$58)+1)/DAY(EOMONTH(C341,0))</f>
        <v>1</v>
      </c>
      <c r="H341" s="81" t="n">
        <f aca="false">'W Sites'!$H$11*F341*'W Sites'!$I$11*IF(((YEAR(C341)-YEAR('W Sites'!$F$11))*12+MONTH(C341)-MONTH('W Sites'!$F$11))=0,'W Assumptions'!$D$62,IF(((YEAR(C341)-YEAR('W Sites'!$F$11))*12+MONTH(C341)-MONTH('W Sites'!$F$11))=1,'W Assumptions'!$D$63,1))*INDEX('W Assumptions'!$D$7:$F$7,1,D341)*INDEX('W Assumptions'!$D$32:$F$32,1,D341)*INDEX('W Assumptions'!$D$80:$D$91,MONTH(C341),1)/AVERAGE('W Assumptions'!$D$80:$D$91)</f>
        <v>741.312</v>
      </c>
      <c r="I341" s="81" t="n">
        <f aca="false">H341*'W Sites'!$J$11/(1+'W Assumptions'!$D$39)*INDEX('W Assumptions'!$D$12:$F$12,1,D341)*INDEX('W Assumptions'!$D$33:$F$33,1,D341)</f>
        <v>41032.5861286957</v>
      </c>
      <c r="J341" s="81" t="n">
        <f aca="false">H341*'W Sites'!$K$11/(1+'W Assumptions'!$D$39)*INDEX('W Assumptions'!$D$12:$F$12,1,D341)*INDEX('W Assumptions'!$D$33:$F$33,1,D341)</f>
        <v>2051.62930643478</v>
      </c>
      <c r="K341" s="81" t="n">
        <f aca="false">'W Sites'!$L$11*F341*IF(((YEAR(C341)-YEAR('W Sites'!$F$11))*12+MONTH(C341)-MONTH('W Sites'!$F$11))=0,'W Assumptions'!$D$62,IF(((YEAR(C341)-YEAR('W Sites'!$F$11))*12+MONTH(C341)-MONTH('W Sites'!$F$11))=1,'W Assumptions'!$D$63,1))*INDEX('W Assumptions'!$D$7:$F$7,1,D341)*INDEX('W Assumptions'!$D$32:$F$32,1,D341)</f>
        <v>23760</v>
      </c>
      <c r="L341" s="81" t="n">
        <f aca="false">SUM(I341:K341)</f>
        <v>66844.2154351304</v>
      </c>
      <c r="M341" s="81" t="n">
        <f aca="false">'W Site Costs'!$I$11*F341*INDEX('W Assumptions'!$D$34:$F$34,1,D341)*INDEX('W Assumptions'!$D$22:$F$22,1,D341)</f>
        <v>26279.19</v>
      </c>
      <c r="N341" s="81" t="n">
        <f aca="false">'W Site Costs'!$J$11*F341*INDEX('W Assumptions'!$D$35:$F$35,1,D341)*INDEX('W Assumptions'!$D$22:$F$22,1,D341)</f>
        <v>5408</v>
      </c>
      <c r="O341" s="81" t="n">
        <f aca="false">L341*'W Site Costs'!$K$11</f>
        <v>0</v>
      </c>
      <c r="P341" s="81" t="n">
        <f aca="false">SUM('W Site Costs'!$L$11:$Q$11)*F341*INDEX('W Assumptions'!$D$35:$F$35,1,D341)*INDEX('W Assumptions'!$D$22:$F$22,1,D341)</f>
        <v>8652.8</v>
      </c>
      <c r="Q341" s="81" t="n">
        <f aca="false">L341*'W Site Costs'!$R$11*INDEX('W Assumptions'!$D$17:$F$17,1,D341)</f>
        <v>6684.42154351304</v>
      </c>
      <c r="R341" s="112" t="n">
        <f aca="false">L341*'W Sites'!$M$11</f>
        <v>0</v>
      </c>
      <c r="S341" s="81" t="n">
        <f aca="false">SUM(M341:R341)</f>
        <v>47024.411543513</v>
      </c>
      <c r="T341" s="81" t="n">
        <f aca="false">L341-S341</f>
        <v>19819.8038916174</v>
      </c>
      <c r="U341" s="81" t="n">
        <f aca="false">IF(C341='W Budget &amp; Owners'!$I$11,'W Budget &amp; Owners'!$F$11*'W Sites'!$G$11,0)</f>
        <v>0</v>
      </c>
      <c r="V341" s="81" t="n">
        <f aca="false">'W Sites'!$G$11*'W Budget &amp; Owners'!$E$11*INDEX('W Assumptions'!$D$27:$F$27,1,D341)*(IF(C341='W Budget &amp; Owners'!$I$11,'W Assumptions'!$D$65,0)+IF(C341=DATE(YEAR('W Sites'!$F$11),MONTH('W Sites'!$F$11),1),1-'W Assumptions'!$D$65,0))+'W Sites'!$G$11*'W Budget &amp; Owners'!$E$11*IF(C341=DATE(2027,9,1),'W Assumptions'!$D$67,IF(C341=DATE(2028,9,1),'W Assumptions'!$D$69,0))</f>
        <v>0</v>
      </c>
      <c r="W341" s="81" t="n">
        <f aca="false">IF(((YEAR(C341)-YEAR('W Sites'!$F$11))*12+MONTH(C341)-MONTH('W Sites'!$F$11))&lt;'W Budget &amp; Owners'!$H$11,'W Budget &amp; Owners'!$E$11/'W Budget &amp; Owners'!$H$11*F341,0)+IF(C341&gt;=DATE(2027,9,1),'W Budget &amp; Owners'!$E$11*'W Assumptions'!$D$67/'W Budget &amp; Owners'!$H$11*F341,0)+IF(C341&gt;=DATE(2028,9,1),'W Budget &amp; Owners'!$E$11*'W Assumptions'!$D$69/'W Budget &amp; Owners'!$H$11*F341,0)</f>
        <v>2625</v>
      </c>
      <c r="X341" s="81" t="n">
        <f aca="false">IF(C341='W Budget &amp; Owners'!$I$11,'W Budget &amp; Owners'!$G$11*'W Sites'!$G$11,0)</f>
        <v>0</v>
      </c>
      <c r="Y341" s="112" t="n">
        <f aca="false">IF(SUM($G$336:$G$345)=0,0,'W Fees &amp; KPI'!$Q$39*G341/SUM($G$336:$G$345))</f>
        <v>3232.75026724072</v>
      </c>
      <c r="Z341" s="119" t="n">
        <f aca="false">IF(SUM($G$336:$G$345)=0,0,SUM('W Fees &amp; KPI'!$J$39,'W Fees &amp; KPI'!$M$39)*G341/SUM($G$336:$G$345))</f>
        <v>5223.75</v>
      </c>
      <c r="AA341" s="117" t="n">
        <f aca="false">T341-U341-Z341-Y341</f>
        <v>11363.3036243767</v>
      </c>
      <c r="AB341" s="119" t="n">
        <f aca="false">IF('W Fees &amp; KPI'!$D$39=0,0,T341-U341-Z341)</f>
        <v>14596.0538916174</v>
      </c>
    </row>
    <row r="342" customFormat="false" ht="21" hidden="false" customHeight="true" outlineLevel="0" collapsed="false">
      <c r="C342" s="144" t="n">
        <f aca="false">47270</f>
        <v>47270</v>
      </c>
      <c r="D342" s="81" t="n">
        <f aca="false">3</f>
        <v>3</v>
      </c>
      <c r="E342" s="81" t="str">
        <f aca="false">'W Sites'!C12</f>
        <v>S07</v>
      </c>
      <c r="F342" s="145" t="n">
        <f aca="false">'W Sites'!$G$12*MAX(0,EOMONTH(C342,0)-MAX(C342,'W Sites'!$F$12)+1)/DAY(EOMONTH(C342,0))</f>
        <v>1</v>
      </c>
      <c r="G342" s="145" t="n">
        <f aca="false">'W Sites'!$G$12*MAX(0,EOMONTH(C342,0)-MAX(C342,'W Sites'!$F$12,'W Assumptions'!$D$58)+1)/DAY(EOMONTH(C342,0))</f>
        <v>1</v>
      </c>
      <c r="H342" s="81" t="n">
        <f aca="false">'W Sites'!$H$12*F342*'W Sites'!$I$12*IF(((YEAR(C342)-YEAR('W Sites'!$F$12))*12+MONTH(C342)-MONTH('W Sites'!$F$12))=0,'W Assumptions'!$D$62,IF(((YEAR(C342)-YEAR('W Sites'!$F$12))*12+MONTH(C342)-MONTH('W Sites'!$F$12))=1,'W Assumptions'!$D$63,1))*INDEX('W Assumptions'!$D$7:$F$7,1,D342)*INDEX('W Assumptions'!$D$32:$F$32,1,D342)*INDEX('W Assumptions'!$D$80:$D$91,MONTH(C342),1)/AVERAGE('W Assumptions'!$D$80:$D$91)</f>
        <v>864.864</v>
      </c>
      <c r="I342" s="81" t="n">
        <f aca="false">H342*'W Sites'!$J$12/(1+'W Assumptions'!$D$39)*INDEX('W Assumptions'!$D$12:$F$12,1,D342)*INDEX('W Assumptions'!$D$33:$F$33,1,D342)</f>
        <v>47871.3504834783</v>
      </c>
      <c r="J342" s="81" t="n">
        <f aca="false">H342*'W Sites'!$K$12/(1+'W Assumptions'!$D$39)*INDEX('W Assumptions'!$D$12:$F$12,1,D342)*INDEX('W Assumptions'!$D$33:$F$33,1,D342)</f>
        <v>2393.56752417391</v>
      </c>
      <c r="K342" s="81" t="n">
        <f aca="false">'W Sites'!$L$12*F342*IF(((YEAR(C342)-YEAR('W Sites'!$F$12))*12+MONTH(C342)-MONTH('W Sites'!$F$12))=0,'W Assumptions'!$D$62,IF(((YEAR(C342)-YEAR('W Sites'!$F$12))*12+MONTH(C342)-MONTH('W Sites'!$F$12))=1,'W Assumptions'!$D$63,1))*INDEX('W Assumptions'!$D$7:$F$7,1,D342)*INDEX('W Assumptions'!$D$32:$F$32,1,D342)</f>
        <v>21384</v>
      </c>
      <c r="L342" s="81" t="n">
        <f aca="false">SUM(I342:K342)</f>
        <v>71648.9180076522</v>
      </c>
      <c r="M342" s="81" t="n">
        <f aca="false">'W Site Costs'!$I$12*F342*INDEX('W Assumptions'!$D$34:$F$34,1,D342)*INDEX('W Assumptions'!$D$22:$F$22,1,D342)</f>
        <v>26279.19</v>
      </c>
      <c r="N342" s="81" t="n">
        <f aca="false">'W Site Costs'!$J$12*F342*INDEX('W Assumptions'!$D$35:$F$35,1,D342)*INDEX('W Assumptions'!$D$22:$F$22,1,D342)</f>
        <v>8652.8</v>
      </c>
      <c r="O342" s="81" t="n">
        <f aca="false">L342*'W Site Costs'!$K$12</f>
        <v>0</v>
      </c>
      <c r="P342" s="81" t="n">
        <f aca="false">SUM('W Site Costs'!$L$12:$Q$12)*F342*INDEX('W Assumptions'!$D$35:$F$35,1,D342)*INDEX('W Assumptions'!$D$22:$F$22,1,D342)</f>
        <v>9193.6</v>
      </c>
      <c r="Q342" s="81" t="n">
        <f aca="false">L342*'W Site Costs'!$R$12*INDEX('W Assumptions'!$D$17:$F$17,1,D342)</f>
        <v>7164.89180076522</v>
      </c>
      <c r="R342" s="112" t="n">
        <f aca="false">L342*'W Sites'!$M$12</f>
        <v>0</v>
      </c>
      <c r="S342" s="81" t="n">
        <f aca="false">SUM(M342:R342)</f>
        <v>51290.4818007652</v>
      </c>
      <c r="T342" s="81" t="n">
        <f aca="false">L342-S342</f>
        <v>20358.436206887</v>
      </c>
      <c r="U342" s="81" t="n">
        <f aca="false">IF(C342='W Budget &amp; Owners'!$I$12,'W Budget &amp; Owners'!$F$12*'W Sites'!$G$12,0)</f>
        <v>0</v>
      </c>
      <c r="V342" s="81" t="n">
        <f aca="false">'W Sites'!$G$12*'W Budget &amp; Owners'!$E$12*INDEX('W Assumptions'!$D$27:$F$27,1,D342)*(IF(C342='W Budget &amp; Owners'!$I$12,'W Assumptions'!$D$65,0)+IF(C342=DATE(YEAR('W Sites'!$F$12),MONTH('W Sites'!$F$12),1),1-'W Assumptions'!$D$65,0))+'W Sites'!$G$12*'W Budget &amp; Owners'!$E$12*IF(C342=DATE(2027,9,1),'W Assumptions'!$D$67,IF(C342=DATE(2028,9,1),'W Assumptions'!$D$69,0))</f>
        <v>0</v>
      </c>
      <c r="W342" s="81" t="n">
        <f aca="false">IF(((YEAR(C342)-YEAR('W Sites'!$F$12))*12+MONTH(C342)-MONTH('W Sites'!$F$12))&lt;'W Budget &amp; Owners'!$H$12,'W Budget &amp; Owners'!$E$12/'W Budget &amp; Owners'!$H$12*F342,0)+IF(C342&gt;=DATE(2027,9,1),'W Budget &amp; Owners'!$E$12*'W Assumptions'!$D$67/'W Budget &amp; Owners'!$H$12*F342,0)+IF(C342&gt;=DATE(2028,9,1),'W Budget &amp; Owners'!$E$12*'W Assumptions'!$D$69/'W Budget &amp; Owners'!$H$12*F342,0)</f>
        <v>7875</v>
      </c>
      <c r="X342" s="81" t="n">
        <f aca="false">IF(C342='W Budget &amp; Owners'!$I$12,'W Budget &amp; Owners'!$G$12*'W Sites'!$G$12,0)</f>
        <v>0</v>
      </c>
      <c r="Y342" s="112" t="n">
        <f aca="false">IF(SUM($G$336:$G$345)=0,0,'W Fees &amp; KPI'!$Q$39*G342/SUM($G$336:$G$345))</f>
        <v>3232.75026724072</v>
      </c>
      <c r="Z342" s="119" t="n">
        <f aca="false">IF(SUM($G$336:$G$345)=0,0,SUM('W Fees &amp; KPI'!$J$39,'W Fees &amp; KPI'!$M$39)*G342/SUM($G$336:$G$345))</f>
        <v>5223.75</v>
      </c>
      <c r="AA342" s="117" t="n">
        <f aca="false">T342-U342-Z342-Y342</f>
        <v>11901.9359396463</v>
      </c>
      <c r="AB342" s="119" t="n">
        <f aca="false">IF('W Fees &amp; KPI'!$D$39=0,0,T342-U342-Z342)</f>
        <v>15134.686206887</v>
      </c>
    </row>
    <row r="343" customFormat="false" ht="21" hidden="false" customHeight="true" outlineLevel="0" collapsed="false">
      <c r="C343" s="144" t="n">
        <f aca="false">47270</f>
        <v>47270</v>
      </c>
      <c r="D343" s="81" t="n">
        <f aca="false">3</f>
        <v>3</v>
      </c>
      <c r="E343" s="81" t="str">
        <f aca="false">'W Sites'!C13</f>
        <v>S08</v>
      </c>
      <c r="F343" s="145" t="n">
        <f aca="false">'W Sites'!$G$13*MAX(0,EOMONTH(C343,0)-MAX(C343,'W Sites'!$F$13)+1)/DAY(EOMONTH(C343,0))</f>
        <v>1</v>
      </c>
      <c r="G343" s="145" t="n">
        <f aca="false">'W Sites'!$G$13*MAX(0,EOMONTH(C343,0)-MAX(C343,'W Sites'!$F$13,'W Assumptions'!$D$58)+1)/DAY(EOMONTH(C343,0))</f>
        <v>1</v>
      </c>
      <c r="H343" s="81" t="n">
        <f aca="false">'W Sites'!$H$13*F343*'W Sites'!$I$13*IF(((YEAR(C343)-YEAR('W Sites'!$F$13))*12+MONTH(C343)-MONTH('W Sites'!$F$13))=0,'W Assumptions'!$D$62,IF(((YEAR(C343)-YEAR('W Sites'!$F$13))*12+MONTH(C343)-MONTH('W Sites'!$F$13))=1,'W Assumptions'!$D$63,1))*INDEX('W Assumptions'!$D$7:$F$7,1,D343)*INDEX('W Assumptions'!$D$32:$F$32,1,D343)*INDEX('W Assumptions'!$D$80:$D$91,MONTH(C343),1)/AVERAGE('W Assumptions'!$D$80:$D$91)</f>
        <v>3706.56</v>
      </c>
      <c r="I343" s="81" t="n">
        <f aca="false">H343*'W Sites'!$J$13/(1+'W Assumptions'!$D$39)*INDEX('W Assumptions'!$D$12:$F$12,1,D343)*INDEX('W Assumptions'!$D$33:$F$33,1,D343)</f>
        <v>136775.287095652</v>
      </c>
      <c r="J343" s="81" t="n">
        <f aca="false">H343*'W Sites'!$K$13/(1+'W Assumptions'!$D$39)*INDEX('W Assumptions'!$D$12:$F$12,1,D343)*INDEX('W Assumptions'!$D$33:$F$33,1,D343)</f>
        <v>17096.9108869565</v>
      </c>
      <c r="K343" s="81" t="n">
        <f aca="false">'W Sites'!$L$13*F343*IF(((YEAR(C343)-YEAR('W Sites'!$F$13))*12+MONTH(C343)-MONTH('W Sites'!$F$13))=0,'W Assumptions'!$D$62,IF(((YEAR(C343)-YEAR('W Sites'!$F$13))*12+MONTH(C343)-MONTH('W Sites'!$F$13))=1,'W Assumptions'!$D$63,1))*INDEX('W Assumptions'!$D$7:$F$7,1,D343)*INDEX('W Assumptions'!$D$32:$F$32,1,D343)</f>
        <v>17820</v>
      </c>
      <c r="L343" s="81" t="n">
        <f aca="false">SUM(I343:K343)</f>
        <v>171692.197982609</v>
      </c>
      <c r="M343" s="81" t="n">
        <f aca="false">'W Site Costs'!$I$13*F343*INDEX('W Assumptions'!$D$34:$F$34,1,D343)*INDEX('W Assumptions'!$D$22:$F$22,1,D343)</f>
        <v>58802.94</v>
      </c>
      <c r="N343" s="81" t="n">
        <f aca="false">'W Site Costs'!$J$13*F343*INDEX('W Assumptions'!$D$35:$F$35,1,D343)*INDEX('W Assumptions'!$D$22:$F$22,1,D343)</f>
        <v>0</v>
      </c>
      <c r="O343" s="81" t="n">
        <f aca="false">L343*'W Site Costs'!$K$13</f>
        <v>17169.2197982609</v>
      </c>
      <c r="P343" s="81" t="n">
        <f aca="false">SUM('W Site Costs'!$L$13:$Q$13)*F343*INDEX('W Assumptions'!$D$35:$F$35,1,D343)*INDEX('W Assumptions'!$D$22:$F$22,1,D343)</f>
        <v>27580.8</v>
      </c>
      <c r="Q343" s="81" t="n">
        <f aca="false">L343*'W Site Costs'!$R$13*INDEX('W Assumptions'!$D$17:$F$17,1,D343)</f>
        <v>13735.3758386087</v>
      </c>
      <c r="R343" s="112" t="n">
        <f aca="false">L343*'W Sites'!$M$13</f>
        <v>0</v>
      </c>
      <c r="S343" s="81" t="n">
        <f aca="false">SUM(M343:R343)</f>
        <v>117288.33563687</v>
      </c>
      <c r="T343" s="81" t="n">
        <f aca="false">L343-S343</f>
        <v>54403.8623457391</v>
      </c>
      <c r="U343" s="81" t="n">
        <f aca="false">IF(C343='W Budget &amp; Owners'!$I$13,'W Budget &amp; Owners'!$F$13*'W Sites'!$G$13,0)</f>
        <v>0</v>
      </c>
      <c r="V343" s="81" t="n">
        <f aca="false">'W Sites'!$G$13*'W Budget &amp; Owners'!$E$13*INDEX('W Assumptions'!$D$27:$F$27,1,D343)*(IF(C343='W Budget &amp; Owners'!$I$13,'W Assumptions'!$D$65,0)+IF(C343=DATE(YEAR('W Sites'!$F$13),MONTH('W Sites'!$F$13),1),1-'W Assumptions'!$D$65,0))+'W Sites'!$G$13*'W Budget &amp; Owners'!$E$13*IF(C343=DATE(2027,9,1),'W Assumptions'!$D$67,IF(C343=DATE(2028,9,1),'W Assumptions'!$D$69,0))</f>
        <v>0</v>
      </c>
      <c r="W343" s="81" t="n">
        <f aca="false">IF(((YEAR(C343)-YEAR('W Sites'!$F$13))*12+MONTH(C343)-MONTH('W Sites'!$F$13))&lt;'W Budget &amp; Owners'!$H$13,'W Budget &amp; Owners'!$E$13/'W Budget &amp; Owners'!$H$13*F343,0)+IF(C343&gt;=DATE(2027,9,1),'W Budget &amp; Owners'!$E$13*'W Assumptions'!$D$67/'W Budget &amp; Owners'!$H$13*F343,0)+IF(C343&gt;=DATE(2028,9,1),'W Budget &amp; Owners'!$E$13*'W Assumptions'!$D$69/'W Budget &amp; Owners'!$H$13*F343,0)</f>
        <v>21000</v>
      </c>
      <c r="X343" s="81" t="n">
        <f aca="false">IF(C343='W Budget &amp; Owners'!$I$13,'W Budget &amp; Owners'!$G$13*'W Sites'!$G$13,0)</f>
        <v>0</v>
      </c>
      <c r="Y343" s="112" t="n">
        <f aca="false">IF(SUM($G$336:$G$345)=0,0,'W Fees &amp; KPI'!$Q$39*G343/SUM($G$336:$G$345))</f>
        <v>3232.75026724072</v>
      </c>
      <c r="Z343" s="119" t="n">
        <f aca="false">IF(SUM($G$336:$G$345)=0,0,SUM('W Fees &amp; KPI'!$J$39,'W Fees &amp; KPI'!$M$39)*G343/SUM($G$336:$G$345))</f>
        <v>5223.75</v>
      </c>
      <c r="AA343" s="117" t="n">
        <f aca="false">T343-U343-Z343-Y343</f>
        <v>45947.3620784984</v>
      </c>
      <c r="AB343" s="119" t="n">
        <f aca="false">IF('W Fees &amp; KPI'!$D$39=0,0,T343-U343-Z343)</f>
        <v>49180.1123457391</v>
      </c>
    </row>
    <row r="344" customFormat="false" ht="21" hidden="false" customHeight="true" outlineLevel="0" collapsed="false">
      <c r="C344" s="144" t="n">
        <f aca="false">47270</f>
        <v>47270</v>
      </c>
      <c r="D344" s="81" t="n">
        <f aca="false">3</f>
        <v>3</v>
      </c>
      <c r="E344" s="81" t="str">
        <f aca="false">'W Sites'!C14</f>
        <v>S09</v>
      </c>
      <c r="F344" s="145" t="n">
        <f aca="false">'W Sites'!$G$14*MAX(0,EOMONTH(C344,0)-MAX(C344,'W Sites'!$F$14)+1)/DAY(EOMONTH(C344,0))</f>
        <v>0</v>
      </c>
      <c r="G344" s="145" t="n">
        <f aca="false">'W Sites'!$G$14*MAX(0,EOMONTH(C344,0)-MAX(C344,'W Sites'!$F$14,'W Assumptions'!$D$58)+1)/DAY(EOMONTH(C344,0))</f>
        <v>0</v>
      </c>
      <c r="H344" s="81" t="n">
        <f aca="false">'W Sites'!$H$14*F344*'W Sites'!$I$14*IF(((YEAR(C344)-YEAR('W Sites'!$F$14))*12+MONTH(C344)-MONTH('W Sites'!$F$14))=0,'W Assumptions'!$D$62,IF(((YEAR(C344)-YEAR('W Sites'!$F$14))*12+MONTH(C344)-MONTH('W Sites'!$F$14))=1,'W Assumptions'!$D$63,1))*INDEX('W Assumptions'!$D$7:$F$7,1,D344)*INDEX('W Assumptions'!$D$32:$F$32,1,D344)*INDEX('W Assumptions'!$D$80:$D$91,MONTH(C344),1)/AVERAGE('W Assumptions'!$D$80:$D$91)</f>
        <v>0</v>
      </c>
      <c r="I344" s="81" t="n">
        <f aca="false">H344*'W Sites'!$J$14/(1+'W Assumptions'!$D$39)*INDEX('W Assumptions'!$D$12:$F$12,1,D344)*INDEX('W Assumptions'!$D$33:$F$33,1,D344)</f>
        <v>0</v>
      </c>
      <c r="J344" s="81" t="n">
        <f aca="false">H344*'W Sites'!$K$14/(1+'W Assumptions'!$D$39)*INDEX('W Assumptions'!$D$12:$F$12,1,D344)*INDEX('W Assumptions'!$D$33:$F$33,1,D344)</f>
        <v>0</v>
      </c>
      <c r="K344" s="81" t="n">
        <f aca="false">'W Sites'!$L$14*F344*IF(((YEAR(C344)-YEAR('W Sites'!$F$14))*12+MONTH(C344)-MONTH('W Sites'!$F$14))=0,'W Assumptions'!$D$62,IF(((YEAR(C344)-YEAR('W Sites'!$F$14))*12+MONTH(C344)-MONTH('W Sites'!$F$14))=1,'W Assumptions'!$D$63,1))*INDEX('W Assumptions'!$D$7:$F$7,1,D344)*INDEX('W Assumptions'!$D$32:$F$32,1,D344)</f>
        <v>0</v>
      </c>
      <c r="L344" s="81" t="n">
        <f aca="false">SUM(I344:K344)</f>
        <v>0</v>
      </c>
      <c r="M344" s="81" t="n">
        <f aca="false">'W Site Costs'!$I$14*F344*INDEX('W Assumptions'!$D$34:$F$34,1,D344)*INDEX('W Assumptions'!$D$22:$F$22,1,D344)</f>
        <v>0</v>
      </c>
      <c r="N344" s="81" t="n">
        <f aca="false">'W Site Costs'!$J$14*F344*INDEX('W Assumptions'!$D$35:$F$35,1,D344)*INDEX('W Assumptions'!$D$22:$F$22,1,D344)</f>
        <v>0</v>
      </c>
      <c r="O344" s="81" t="n">
        <f aca="false">L344*'W Site Costs'!$K$14</f>
        <v>0</v>
      </c>
      <c r="P344" s="81" t="n">
        <f aca="false">SUM('W Site Costs'!$L$14:$Q$14)*F344*INDEX('W Assumptions'!$D$35:$F$35,1,D344)*INDEX('W Assumptions'!$D$22:$F$22,1,D344)</f>
        <v>0</v>
      </c>
      <c r="Q344" s="81" t="n">
        <f aca="false">L344*'W Site Costs'!$R$14*INDEX('W Assumptions'!$D$17:$F$17,1,D344)</f>
        <v>0</v>
      </c>
      <c r="R344" s="112" t="n">
        <f aca="false">L344*'W Sites'!$M$14</f>
        <v>0</v>
      </c>
      <c r="S344" s="81" t="n">
        <f aca="false">SUM(M344:R344)</f>
        <v>0</v>
      </c>
      <c r="T344" s="81" t="n">
        <f aca="false">L344-S344</f>
        <v>0</v>
      </c>
      <c r="U344" s="81" t="n">
        <f aca="false">IF(C344='W Budget &amp; Owners'!$I$14,'W Budget &amp; Owners'!$F$14*'W Sites'!$G$14,0)</f>
        <v>0</v>
      </c>
      <c r="V344" s="81" t="n">
        <f aca="false">'W Sites'!$G$14*'W Budget &amp; Owners'!$E$14*INDEX('W Assumptions'!$D$27:$F$27,1,D344)*(IF(C344='W Budget &amp; Owners'!$I$14,'W Assumptions'!$D$65,0)+IF(C344=DATE(YEAR('W Sites'!$F$14),MONTH('W Sites'!$F$14),1),1-'W Assumptions'!$D$65,0))+'W Sites'!$G$14*'W Budget &amp; Owners'!$E$14*IF(C344=DATE(2027,9,1),'W Assumptions'!$D$67,IF(C344=DATE(2028,9,1),'W Assumptions'!$D$69,0))</f>
        <v>0</v>
      </c>
      <c r="W344" s="81" t="n">
        <f aca="false">IF(((YEAR(C344)-YEAR('W Sites'!$F$14))*12+MONTH(C344)-MONTH('W Sites'!$F$14))&lt;'W Budget &amp; Owners'!$H$14,'W Budget &amp; Owners'!$E$14/'W Budget &amp; Owners'!$H$14*F344,0)+IF(C344&gt;=DATE(2027,9,1),'W Budget &amp; Owners'!$E$14*'W Assumptions'!$D$67/'W Budget &amp; Owners'!$H$14*F344,0)+IF(C344&gt;=DATE(2028,9,1),'W Budget &amp; Owners'!$E$14*'W Assumptions'!$D$69/'W Budget &amp; Owners'!$H$14*F344,0)</f>
        <v>0</v>
      </c>
      <c r="X344" s="81" t="n">
        <f aca="false">IF(C344='W Budget &amp; Owners'!$I$14,'W Budget &amp; Owners'!$G$14*'W Sites'!$G$14,0)</f>
        <v>0</v>
      </c>
      <c r="Y344" s="112" t="n">
        <f aca="false">IF(SUM($G$336:$G$345)=0,0,'W Fees &amp; KPI'!$Q$39*G344/SUM($G$336:$G$345))</f>
        <v>0</v>
      </c>
      <c r="Z344" s="119" t="n">
        <f aca="false">IF(SUM($G$336:$G$345)=0,0,SUM('W Fees &amp; KPI'!$J$39,'W Fees &amp; KPI'!$M$39)*G344/SUM($G$336:$G$345))</f>
        <v>0</v>
      </c>
      <c r="AA344" s="117" t="n">
        <f aca="false">T344-U344-Z344-Y344</f>
        <v>0</v>
      </c>
      <c r="AB344" s="119" t="n">
        <f aca="false">IF('W Fees &amp; KPI'!$D$39=0,0,T344-U344-Z344)</f>
        <v>0</v>
      </c>
    </row>
    <row r="345" customFormat="false" ht="21" hidden="false" customHeight="true" outlineLevel="0" collapsed="false">
      <c r="C345" s="144" t="n">
        <f aca="false">47270</f>
        <v>47270</v>
      </c>
      <c r="D345" s="81" t="n">
        <f aca="false">3</f>
        <v>3</v>
      </c>
      <c r="E345" s="81" t="str">
        <f aca="false">'W Sites'!C15</f>
        <v>S10</v>
      </c>
      <c r="F345" s="145" t="n">
        <f aca="false">'W Sites'!$G$15*MAX(0,EOMONTH(C345,0)-MAX(C345,'W Sites'!$F$15)+1)/DAY(EOMONTH(C345,0))</f>
        <v>0</v>
      </c>
      <c r="G345" s="145" t="n">
        <f aca="false">'W Sites'!$G$15*MAX(0,EOMONTH(C345,0)-MAX(C345,'W Sites'!$F$15,'W Assumptions'!$D$58)+1)/DAY(EOMONTH(C345,0))</f>
        <v>0</v>
      </c>
      <c r="H345" s="81" t="n">
        <f aca="false">'W Sites'!$H$15*F345*'W Sites'!$I$15*IF(((YEAR(C345)-YEAR('W Sites'!$F$15))*12+MONTH(C345)-MONTH('W Sites'!$F$15))=0,'W Assumptions'!$D$62,IF(((YEAR(C345)-YEAR('W Sites'!$F$15))*12+MONTH(C345)-MONTH('W Sites'!$F$15))=1,'W Assumptions'!$D$63,1))*INDEX('W Assumptions'!$D$7:$F$7,1,D345)*INDEX('W Assumptions'!$D$32:$F$32,1,D345)*INDEX('W Assumptions'!$D$80:$D$91,MONTH(C345),1)/AVERAGE('W Assumptions'!$D$80:$D$91)</f>
        <v>0</v>
      </c>
      <c r="I345" s="81" t="n">
        <f aca="false">H345*'W Sites'!$J$15/(1+'W Assumptions'!$D$39)*INDEX('W Assumptions'!$D$12:$F$12,1,D345)*INDEX('W Assumptions'!$D$33:$F$33,1,D345)</f>
        <v>0</v>
      </c>
      <c r="J345" s="81" t="n">
        <f aca="false">H345*'W Sites'!$K$15/(1+'W Assumptions'!$D$39)*INDEX('W Assumptions'!$D$12:$F$12,1,D345)*INDEX('W Assumptions'!$D$33:$F$33,1,D345)</f>
        <v>0</v>
      </c>
      <c r="K345" s="81" t="n">
        <f aca="false">'W Sites'!$L$15*F345*IF(((YEAR(C345)-YEAR('W Sites'!$F$15))*12+MONTH(C345)-MONTH('W Sites'!$F$15))=0,'W Assumptions'!$D$62,IF(((YEAR(C345)-YEAR('W Sites'!$F$15))*12+MONTH(C345)-MONTH('W Sites'!$F$15))=1,'W Assumptions'!$D$63,1))*INDEX('W Assumptions'!$D$7:$F$7,1,D345)*INDEX('W Assumptions'!$D$32:$F$32,1,D345)</f>
        <v>0</v>
      </c>
      <c r="L345" s="81" t="n">
        <f aca="false">SUM(I345:K345)</f>
        <v>0</v>
      </c>
      <c r="M345" s="81" t="n">
        <f aca="false">'W Site Costs'!$I$15*F345*INDEX('W Assumptions'!$D$34:$F$34,1,D345)*INDEX('W Assumptions'!$D$22:$F$22,1,D345)</f>
        <v>0</v>
      </c>
      <c r="N345" s="81" t="n">
        <f aca="false">'W Site Costs'!$J$15*F345*INDEX('W Assumptions'!$D$35:$F$35,1,D345)*INDEX('W Assumptions'!$D$22:$F$22,1,D345)</f>
        <v>0</v>
      </c>
      <c r="O345" s="81" t="n">
        <f aca="false">L345*'W Site Costs'!$K$15</f>
        <v>0</v>
      </c>
      <c r="P345" s="81" t="n">
        <f aca="false">SUM('W Site Costs'!$L$15:$Q$15)*F345*INDEX('W Assumptions'!$D$35:$F$35,1,D345)*INDEX('W Assumptions'!$D$22:$F$22,1,D345)</f>
        <v>0</v>
      </c>
      <c r="Q345" s="81" t="n">
        <f aca="false">L345*'W Site Costs'!$R$15*INDEX('W Assumptions'!$D$17:$F$17,1,D345)</f>
        <v>0</v>
      </c>
      <c r="R345" s="112" t="n">
        <f aca="false">L345*'W Sites'!$M$15</f>
        <v>0</v>
      </c>
      <c r="S345" s="81" t="n">
        <f aca="false">SUM(M345:R345)</f>
        <v>0</v>
      </c>
      <c r="T345" s="81" t="n">
        <f aca="false">L345-S345</f>
        <v>0</v>
      </c>
      <c r="U345" s="81" t="n">
        <f aca="false">IF(C345='W Budget &amp; Owners'!$I$15,'W Budget &amp; Owners'!$F$15*'W Sites'!$G$15,0)</f>
        <v>0</v>
      </c>
      <c r="V345" s="81" t="n">
        <f aca="false">'W Sites'!$G$15*'W Budget &amp; Owners'!$E$15*INDEX('W Assumptions'!$D$27:$F$27,1,D345)*(IF(C345='W Budget &amp; Owners'!$I$15,'W Assumptions'!$D$65,0)+IF(C345=DATE(YEAR('W Sites'!$F$15),MONTH('W Sites'!$F$15),1),1-'W Assumptions'!$D$65,0))+'W Sites'!$G$15*'W Budget &amp; Owners'!$E$15*IF(C345=DATE(2027,9,1),'W Assumptions'!$D$67,IF(C345=DATE(2028,9,1),'W Assumptions'!$D$69,0))</f>
        <v>0</v>
      </c>
      <c r="W345" s="81" t="n">
        <f aca="false">IF(((YEAR(C345)-YEAR('W Sites'!$F$15))*12+MONTH(C345)-MONTH('W Sites'!$F$15))&lt;'W Budget &amp; Owners'!$H$15,'W Budget &amp; Owners'!$E$15/'W Budget &amp; Owners'!$H$15*F345,0)+IF(C345&gt;=DATE(2027,9,1),'W Budget &amp; Owners'!$E$15*'W Assumptions'!$D$67/'W Budget &amp; Owners'!$H$15*F345,0)+IF(C345&gt;=DATE(2028,9,1),'W Budget &amp; Owners'!$E$15*'W Assumptions'!$D$69/'W Budget &amp; Owners'!$H$15*F345,0)</f>
        <v>0</v>
      </c>
      <c r="X345" s="81" t="n">
        <f aca="false">IF(C345='W Budget &amp; Owners'!$I$15,'W Budget &amp; Owners'!$G$15*'W Sites'!$G$15,0)</f>
        <v>0</v>
      </c>
      <c r="Y345" s="112" t="n">
        <f aca="false">IF(SUM($G$336:$G$345)=0,0,'W Fees &amp; KPI'!$Q$39*G345/SUM($G$336:$G$345))</f>
        <v>0</v>
      </c>
      <c r="Z345" s="119" t="n">
        <f aca="false">IF(SUM($G$336:$G$345)=0,0,SUM('W Fees &amp; KPI'!$J$39,'W Fees &amp; KPI'!$M$39)*G345/SUM($G$336:$G$345))</f>
        <v>0</v>
      </c>
      <c r="AA345" s="117" t="n">
        <f aca="false">T345-U345-Z345-Y345</f>
        <v>0</v>
      </c>
      <c r="AB345" s="119" t="n">
        <f aca="false">IF('W Fees &amp; KPI'!$D$39=0,0,T345-U345-Z345)</f>
        <v>0</v>
      </c>
    </row>
    <row r="346" customFormat="false" ht="21" hidden="false" customHeight="true" outlineLevel="0" collapsed="false">
      <c r="C346" s="144" t="n">
        <f aca="false">47300</f>
        <v>47300</v>
      </c>
      <c r="D346" s="81" t="n">
        <f aca="false">3</f>
        <v>3</v>
      </c>
      <c r="E346" s="81" t="str">
        <f aca="false">'W Sites'!C6</f>
        <v>S01</v>
      </c>
      <c r="F346" s="145" t="n">
        <f aca="false">'W Sites'!$G$6*MAX(0,EOMONTH(C346,0)-MAX(C346,'W Sites'!$F$6)+1)/DAY(EOMONTH(C346,0))</f>
        <v>1</v>
      </c>
      <c r="G346" s="145" t="n">
        <f aca="false">'W Sites'!$G$6*MAX(0,EOMONTH(C346,0)-MAX(C346,'W Sites'!$F$6,'W Assumptions'!$D$58)+1)/DAY(EOMONTH(C346,0))</f>
        <v>1</v>
      </c>
      <c r="H346" s="81" t="n">
        <f aca="false">'W Sites'!$D$45*INDEX('W Sites'!$E$65:$E$76,MONTH(C346),1)/SUM('W Sites'!$E$65:$E$76)*F346*(1+'W Sites'!$D$56)^(D346-1)*INDEX('W Assumptions'!$D$7:$F$7,1,D346)</f>
        <v>7901.1552</v>
      </c>
      <c r="I346" s="81" t="n">
        <f aca="false">H346*'W Sites'!$D$46/(1+'W Sites'!$D$54*'W Assumptions'!$D$39)*INDEX('W Assumptions'!$D$12:$F$12,1,D346)</f>
        <v>434563.536</v>
      </c>
      <c r="J346" s="81" t="n">
        <f aca="false">H346*SUM('W Sites'!$D$47:$D$49)/(1+'W Sites'!$D$54*'W Assumptions'!$D$39)*INDEX('W Assumptions'!$D$12:$F$12,1,D346)</f>
        <v>237034.656</v>
      </c>
      <c r="K346" s="81" t="n">
        <f aca="false">SUM('W Sites'!$D$50:$D$52)/12*F346*(1+'W Sites'!$D$56)^(D346-1)*INDEX('W Assumptions'!$D$7:$F$7,1,D346)*INDEX('W Assumptions'!$D$12:$F$12,1,D346)/(1+'W Sites'!$D$54*'W Assumptions'!$D$39)</f>
        <v>37453.3333333333</v>
      </c>
      <c r="L346" s="81" t="n">
        <f aca="false">SUM(I346:K346)</f>
        <v>709051.525333333</v>
      </c>
      <c r="M346" s="81" t="n">
        <f aca="false">('W Site Costs'!$I$6+INDEX('W Sites'!$F$65:$F$76,MONTH(C346),1)*'W Site Costs'!$V$6)*F346*(1+'W Sites'!$D$58)^(D346-1)*INDEX('W Assumptions'!$D$22:$F$22,1,D346)</f>
        <v>176300.8</v>
      </c>
      <c r="N346" s="81" t="n">
        <f aca="false">'W Site Costs'!$J$6*F346*INDEX('W Assumptions'!$D$35:$F$35,1,D346)*INDEX('W Assumptions'!$D$22:$F$22,1,D346)</f>
        <v>16224</v>
      </c>
      <c r="O346" s="81" t="n">
        <f aca="false">L346*'W Site Costs'!$K$6</f>
        <v>0</v>
      </c>
      <c r="P346" s="81" t="n">
        <f aca="false">(SUM('W Site Costs'!$L$6:$Q$6)+INDEX('W Sites'!$F$65:$F$76,MONTH(C346),1)*'W Site Costs'!$W$6)*F346*(1+'W Sites'!$D$58)^(D346-1)*INDEX('W Assumptions'!$D$22:$F$22,1,D346)</f>
        <v>115731.2</v>
      </c>
      <c r="Q346" s="81" t="n">
        <f aca="false">('W Site Costs'!$X$6+INDEX('W Sites'!$F$65:$F$76,MONTH(C346),1)*'W Site Costs'!$Y$6)*F346*(1+'W Sites'!$D$58)^(D346-1)*INDEX('W Assumptions'!$D$17:$F$17,1,D346)</f>
        <v>27040</v>
      </c>
      <c r="R346" s="112" t="n">
        <f aca="false">L346*'W Sites'!$M$6</f>
        <v>0</v>
      </c>
      <c r="S346" s="81" t="n">
        <f aca="false">SUM(M346:R346)</f>
        <v>335296</v>
      </c>
      <c r="T346" s="81" t="n">
        <f aca="false">L346-S346</f>
        <v>373755.525333333</v>
      </c>
      <c r="U346" s="81" t="n">
        <f aca="false">IF(C346='W Budget &amp; Owners'!$I$6,'W Budget &amp; Owners'!$F$6*'W Sites'!$G$6,0)</f>
        <v>0</v>
      </c>
      <c r="V346" s="81" t="n">
        <f aca="false">'W Sites'!$G$6*'W Budget &amp; Owners'!$E$6*INDEX('W Assumptions'!$D$27:$F$27,1,D346)*(IF(C346='W Budget &amp; Owners'!$I$6,'W Assumptions'!$D$65,0)+IF(C346=DATE(YEAR('W Sites'!$F$6),MONTH('W Sites'!$F$6),1),1-'W Assumptions'!$D$65,0))+'W Sites'!$G$6*'W Budget &amp; Owners'!$E$6*IF(C346=DATE(2027,9,1),'W Assumptions'!$D$67,IF(C346=DATE(2028,9,1),'W Assumptions'!$D$69,0))</f>
        <v>0</v>
      </c>
      <c r="W346" s="81" t="n">
        <f aca="false">IF(((YEAR(C346)-YEAR('W Sites'!$F$6))*12+MONTH(C346)-MONTH('W Sites'!$F$6))&lt;'W Budget &amp; Owners'!$H$6,'W Budget &amp; Owners'!$E$6/'W Budget &amp; Owners'!$H$6*F346,0)+IF(C346&gt;=DATE(2027,9,1),'W Budget &amp; Owners'!$E$6*'W Assumptions'!$D$67/'W Budget &amp; Owners'!$H$6*F346,0)+IF(C346&gt;=DATE(2028,9,1),'W Budget &amp; Owners'!$E$6*'W Assumptions'!$D$69/'W Budget &amp; Owners'!$H$6*F346,0)</f>
        <v>6125</v>
      </c>
      <c r="X346" s="81" t="n">
        <f aca="false">IF(C346='W Budget &amp; Owners'!$I$6,'W Budget &amp; Owners'!$G$6*'W Sites'!$G$6,0)</f>
        <v>0</v>
      </c>
      <c r="Y346" s="112" t="n">
        <f aca="false">IF(SUM($G$346:$G$355)=0,0,'W Fees &amp; KPI'!$Q$40*G346/SUM($G$346:$G$355))</f>
        <v>3932.33171724073</v>
      </c>
      <c r="Z346" s="119" t="n">
        <f aca="false">IF(SUM($G$346:$G$355)=0,0,SUM('W Fees &amp; KPI'!$J$40,'W Fees &amp; KPI'!$M$40)*G346/SUM($G$346:$G$355))</f>
        <v>5223.75</v>
      </c>
      <c r="AA346" s="117" t="n">
        <f aca="false">T346-U346-Z346-Y346</f>
        <v>364599.443616093</v>
      </c>
      <c r="AB346" s="119" t="n">
        <f aca="false">IF('W Fees &amp; KPI'!$D$40=0,0,T346-U346-Z346)</f>
        <v>368531.775333333</v>
      </c>
    </row>
    <row r="347" customFormat="false" ht="21" hidden="false" customHeight="true" outlineLevel="0" collapsed="false">
      <c r="C347" s="144" t="n">
        <f aca="false">47300</f>
        <v>47300</v>
      </c>
      <c r="D347" s="81" t="n">
        <f aca="false">3</f>
        <v>3</v>
      </c>
      <c r="E347" s="81" t="str">
        <f aca="false">'W Sites'!C7</f>
        <v>S02</v>
      </c>
      <c r="F347" s="145" t="n">
        <f aca="false">'W Sites'!$G$7*MAX(0,EOMONTH(C347,0)-MAX(C347,'W Sites'!$F$7)+1)/DAY(EOMONTH(C347,0))</f>
        <v>1</v>
      </c>
      <c r="G347" s="145" t="n">
        <f aca="false">'W Sites'!$G$7*MAX(0,EOMONTH(C347,0)-MAX(C347,'W Sites'!$F$7,'W Assumptions'!$D$58)+1)/DAY(EOMONTH(C347,0))</f>
        <v>1</v>
      </c>
      <c r="H347" s="81" t="n">
        <f aca="false">'W Sites'!$H$7*F347*'W Sites'!$I$7*IF(((YEAR(C347)-YEAR('W Sites'!$F$7))*12+MONTH(C347)-MONTH('W Sites'!$F$7))=0,'W Assumptions'!$D$62,IF(((YEAR(C347)-YEAR('W Sites'!$F$7))*12+MONTH(C347)-MONTH('W Sites'!$F$7))=1,'W Assumptions'!$D$63,1))*INDEX('W Assumptions'!$D$7:$F$7,1,D347)*INDEX('W Assumptions'!$D$32:$F$32,1,D347)*INDEX('W Assumptions'!$D$80:$D$91,MONTH(C347),1)/AVERAGE('W Assumptions'!$D$80:$D$91)</f>
        <v>1995.84</v>
      </c>
      <c r="I347" s="81" t="n">
        <f aca="false">H347*'W Sites'!$J$7/(1+'W Assumptions'!$D$39)*INDEX('W Assumptions'!$D$12:$F$12,1,D347)*INDEX('W Assumptions'!$D$33:$F$33,1,D347)</f>
        <v>64442.202573913</v>
      </c>
      <c r="J347" s="81" t="n">
        <f aca="false">H347*'W Sites'!$K$7/(1+'W Assumptions'!$D$39)*INDEX('W Assumptions'!$D$12:$F$12,1,D347)*INDEX('W Assumptions'!$D$33:$F$33,1,D347)</f>
        <v>5523.61736347826</v>
      </c>
      <c r="K347" s="81" t="n">
        <f aca="false">'W Sites'!$L$7*F347*IF(((YEAR(C347)-YEAR('W Sites'!$F$7))*12+MONTH(C347)-MONTH('W Sites'!$F$7))=0,'W Assumptions'!$D$62,IF(((YEAR(C347)-YEAR('W Sites'!$F$7))*12+MONTH(C347)-MONTH('W Sites'!$F$7))=1,'W Assumptions'!$D$63,1))*INDEX('W Assumptions'!$D$7:$F$7,1,D347)*INDEX('W Assumptions'!$D$32:$F$32,1,D347)</f>
        <v>5940</v>
      </c>
      <c r="L347" s="81" t="n">
        <f aca="false">SUM(I347:K347)</f>
        <v>75905.8199373913</v>
      </c>
      <c r="M347" s="81" t="n">
        <f aca="false">'W Site Costs'!$I$7*F347*INDEX('W Assumptions'!$D$34:$F$34,1,D347)*INDEX('W Assumptions'!$D$22:$F$22,1,D347)</f>
        <v>35776.125</v>
      </c>
      <c r="N347" s="81" t="n">
        <f aca="false">'W Site Costs'!$J$7*F347*INDEX('W Assumptions'!$D$35:$F$35,1,D347)*INDEX('W Assumptions'!$D$22:$F$22,1,D347)</f>
        <v>0</v>
      </c>
      <c r="O347" s="81" t="n">
        <f aca="false">L347*'W Site Costs'!$K$7</f>
        <v>11385.8729906087</v>
      </c>
      <c r="P347" s="81" t="n">
        <f aca="false">SUM('W Site Costs'!$L$7:$Q$7)*F347*INDEX('W Assumptions'!$D$35:$F$35,1,D347)*INDEX('W Assumptions'!$D$22:$F$22,1,D347)</f>
        <v>12654.72</v>
      </c>
      <c r="Q347" s="81" t="n">
        <f aca="false">L347*'W Site Costs'!$R$7*INDEX('W Assumptions'!$D$17:$F$17,1,D347)</f>
        <v>4554.34919624348</v>
      </c>
      <c r="R347" s="112" t="n">
        <f aca="false">L347*'W Sites'!$M$7</f>
        <v>0</v>
      </c>
      <c r="S347" s="81" t="n">
        <f aca="false">SUM(M347:R347)</f>
        <v>64371.0671868522</v>
      </c>
      <c r="T347" s="81" t="n">
        <f aca="false">L347-S347</f>
        <v>11534.7527505391</v>
      </c>
      <c r="U347" s="81" t="n">
        <f aca="false">IF(C347='W Budget &amp; Owners'!$I$7,'W Budget &amp; Owners'!$F$7*'W Sites'!$G$7,0)</f>
        <v>0</v>
      </c>
      <c r="V347" s="81" t="n">
        <f aca="false">'W Sites'!$G$7*'W Budget &amp; Owners'!$E$7*INDEX('W Assumptions'!$D$27:$F$27,1,D347)*(IF(C347='W Budget &amp; Owners'!$I$7,'W Assumptions'!$D$65,0)+IF(C347=DATE(YEAR('W Sites'!$F$7),MONTH('W Sites'!$F$7),1),1-'W Assumptions'!$D$65,0))+'W Sites'!$G$7*'W Budget &amp; Owners'!$E$7*IF(C347=DATE(2027,9,1),'W Assumptions'!$D$67,IF(C347=DATE(2028,9,1),'W Assumptions'!$D$69,0))</f>
        <v>0</v>
      </c>
      <c r="W347" s="81" t="n">
        <f aca="false">IF(((YEAR(C347)-YEAR('W Sites'!$F$7))*12+MONTH(C347)-MONTH('W Sites'!$F$7))&lt;'W Budget &amp; Owners'!$H$7,'W Budget &amp; Owners'!$E$7/'W Budget &amp; Owners'!$H$7*F347,0)+IF(C347&gt;=DATE(2027,9,1),'W Budget &amp; Owners'!$E$7*'W Assumptions'!$D$67/'W Budget &amp; Owners'!$H$7*F347,0)+IF(C347&gt;=DATE(2028,9,1),'W Budget &amp; Owners'!$E$7*'W Assumptions'!$D$69/'W Budget &amp; Owners'!$H$7*F347,0)</f>
        <v>1400</v>
      </c>
      <c r="X347" s="81" t="n">
        <f aca="false">IF(C347='W Budget &amp; Owners'!$I$7,'W Budget &amp; Owners'!$G$7*'W Sites'!$G$7,0)</f>
        <v>0</v>
      </c>
      <c r="Y347" s="112" t="n">
        <f aca="false">IF(SUM($G$346:$G$355)=0,0,'W Fees &amp; KPI'!$Q$40*G347/SUM($G$346:$G$355))</f>
        <v>3932.33171724073</v>
      </c>
      <c r="Z347" s="119" t="n">
        <f aca="false">IF(SUM($G$346:$G$355)=0,0,SUM('W Fees &amp; KPI'!$J$40,'W Fees &amp; KPI'!$M$40)*G347/SUM($G$346:$G$355))</f>
        <v>5223.75</v>
      </c>
      <c r="AA347" s="117" t="n">
        <f aca="false">T347-U347-Z347-Y347</f>
        <v>2378.67103329839</v>
      </c>
      <c r="AB347" s="119" t="n">
        <f aca="false">IF('W Fees &amp; KPI'!$D$40=0,0,T347-U347-Z347)</f>
        <v>6311.00275053912</v>
      </c>
    </row>
    <row r="348" customFormat="false" ht="21" hidden="false" customHeight="true" outlineLevel="0" collapsed="false">
      <c r="C348" s="144" t="n">
        <f aca="false">47300</f>
        <v>47300</v>
      </c>
      <c r="D348" s="81" t="n">
        <f aca="false">3</f>
        <v>3</v>
      </c>
      <c r="E348" s="81" t="str">
        <f aca="false">'W Sites'!C8</f>
        <v>S03</v>
      </c>
      <c r="F348" s="145" t="n">
        <f aca="false">'W Sites'!$G$8*MAX(0,EOMONTH(C348,0)-MAX(C348,'W Sites'!$F$8)+1)/DAY(EOMONTH(C348,0))</f>
        <v>1</v>
      </c>
      <c r="G348" s="145" t="n">
        <f aca="false">'W Sites'!$G$8*MAX(0,EOMONTH(C348,0)-MAX(C348,'W Sites'!$F$8,'W Assumptions'!$D$58)+1)/DAY(EOMONTH(C348,0))</f>
        <v>1</v>
      </c>
      <c r="H348" s="81" t="n">
        <f aca="false">'W Sites'!$H$8*F348*'W Sites'!$I$8*IF(((YEAR(C348)-YEAR('W Sites'!$F$8))*12+MONTH(C348)-MONTH('W Sites'!$F$8))=0,'W Assumptions'!$D$62,IF(((YEAR(C348)-YEAR('W Sites'!$F$8))*12+MONTH(C348)-MONTH('W Sites'!$F$8))=1,'W Assumptions'!$D$63,1))*INDEX('W Assumptions'!$D$7:$F$7,1,D348)*INDEX('W Assumptions'!$D$32:$F$32,1,D348)*INDEX('W Assumptions'!$D$80:$D$91,MONTH(C348),1)/AVERAGE('W Assumptions'!$D$80:$D$91)</f>
        <v>2694.9698630137</v>
      </c>
      <c r="I348" s="81" t="n">
        <f aca="false">H348*'W Sites'!$J$8/(1+'W Assumptions'!$D$39)*INDEX('W Assumptions'!$D$12:$F$12,1,D348)*INDEX('W Assumptions'!$D$33:$F$33,1,D348)</f>
        <v>161600.938520548</v>
      </c>
      <c r="J348" s="81" t="n">
        <f aca="false">H348*'W Sites'!$K$8/(1+'W Assumptions'!$D$39)*INDEX('W Assumptions'!$D$12:$F$12,1,D348)*INDEX('W Assumptions'!$D$33:$F$33,1,D348)</f>
        <v>19889.3462794521</v>
      </c>
      <c r="K348" s="81" t="n">
        <f aca="false">'W Sites'!$L$8*F348*IF(((YEAR(C348)-YEAR('W Sites'!$F$8))*12+MONTH(C348)-MONTH('W Sites'!$F$8))=0,'W Assumptions'!$D$62,IF(((YEAR(C348)-YEAR('W Sites'!$F$8))*12+MONTH(C348)-MONTH('W Sites'!$F$8))=1,'W Assumptions'!$D$63,1))*INDEX('W Assumptions'!$D$7:$F$7,1,D348)*INDEX('W Assumptions'!$D$32:$F$32,1,D348)</f>
        <v>23760</v>
      </c>
      <c r="L348" s="81" t="n">
        <f aca="false">SUM(I348:K348)</f>
        <v>205250.2848</v>
      </c>
      <c r="M348" s="81" t="n">
        <f aca="false">'W Site Costs'!$I$8*F348*INDEX('W Assumptions'!$D$34:$F$34,1,D348)*INDEX('W Assumptions'!$D$22:$F$22,1,D348)</f>
        <v>52948.665</v>
      </c>
      <c r="N348" s="81" t="n">
        <f aca="false">'W Site Costs'!$J$8*F348*INDEX('W Assumptions'!$D$35:$F$35,1,D348)*INDEX('W Assumptions'!$D$22:$F$22,1,D348)</f>
        <v>37856</v>
      </c>
      <c r="O348" s="81" t="n">
        <f aca="false">L348*'W Site Costs'!$K$8</f>
        <v>0</v>
      </c>
      <c r="P348" s="81" t="n">
        <f aca="false">SUM('W Site Costs'!$L$8:$Q$8)*F348*INDEX('W Assumptions'!$D$35:$F$35,1,D348)*INDEX('W Assumptions'!$D$22:$F$22,1,D348)</f>
        <v>21091.2</v>
      </c>
      <c r="Q348" s="81" t="n">
        <f aca="false">L348*'W Site Costs'!$R$8*INDEX('W Assumptions'!$D$17:$F$17,1,D348)</f>
        <v>16420.022784</v>
      </c>
      <c r="R348" s="112" t="n">
        <f aca="false">L348*'W Sites'!$M$8</f>
        <v>0</v>
      </c>
      <c r="S348" s="81" t="n">
        <f aca="false">SUM(M348:R348)</f>
        <v>128315.887784</v>
      </c>
      <c r="T348" s="81" t="n">
        <f aca="false">L348-S348</f>
        <v>76934.3970160001</v>
      </c>
      <c r="U348" s="81" t="n">
        <f aca="false">IF(C348='W Budget &amp; Owners'!$I$8,'W Budget &amp; Owners'!$F$8*'W Sites'!$G$8,0)</f>
        <v>0</v>
      </c>
      <c r="V348" s="81" t="n">
        <f aca="false">'W Sites'!$G$8*'W Budget &amp; Owners'!$E$8*INDEX('W Assumptions'!$D$27:$F$27,1,D348)*(IF(C348='W Budget &amp; Owners'!$I$8,'W Assumptions'!$D$65,0)+IF(C348=DATE(YEAR('W Sites'!$F$8),MONTH('W Sites'!$F$8),1),1-'W Assumptions'!$D$65,0))+'W Sites'!$G$8*'W Budget &amp; Owners'!$E$8*IF(C348=DATE(2027,9,1),'W Assumptions'!$D$67,IF(C348=DATE(2028,9,1),'W Assumptions'!$D$69,0))</f>
        <v>0</v>
      </c>
      <c r="W348" s="81" t="n">
        <f aca="false">IF(((YEAR(C348)-YEAR('W Sites'!$F$8))*12+MONTH(C348)-MONTH('W Sites'!$F$8))&lt;'W Budget &amp; Owners'!$H$8,'W Budget &amp; Owners'!$E$8/'W Budget &amp; Owners'!$H$8*F348,0)+IF(C348&gt;=DATE(2027,9,1),'W Budget &amp; Owners'!$E$8*'W Assumptions'!$D$67/'W Budget &amp; Owners'!$H$8*F348,0)+IF(C348&gt;=DATE(2028,9,1),'W Budget &amp; Owners'!$E$8*'W Assumptions'!$D$69/'W Budget &amp; Owners'!$H$8*F348,0)</f>
        <v>10500</v>
      </c>
      <c r="X348" s="81" t="n">
        <f aca="false">IF(C348='W Budget &amp; Owners'!$I$8,'W Budget &amp; Owners'!$G$8*'W Sites'!$G$8,0)</f>
        <v>0</v>
      </c>
      <c r="Y348" s="112" t="n">
        <f aca="false">IF(SUM($G$346:$G$355)=0,0,'W Fees &amp; KPI'!$Q$40*G348/SUM($G$346:$G$355))</f>
        <v>3932.33171724073</v>
      </c>
      <c r="Z348" s="119" t="n">
        <f aca="false">IF(SUM($G$346:$G$355)=0,0,SUM('W Fees &amp; KPI'!$J$40,'W Fees &amp; KPI'!$M$40)*G348/SUM($G$346:$G$355))</f>
        <v>5223.75</v>
      </c>
      <c r="AA348" s="117" t="n">
        <f aca="false">T348-U348-Z348-Y348</f>
        <v>67778.3152987593</v>
      </c>
      <c r="AB348" s="119" t="n">
        <f aca="false">IF('W Fees &amp; KPI'!$D$40=0,0,T348-U348-Z348)</f>
        <v>71710.6470160001</v>
      </c>
    </row>
    <row r="349" customFormat="false" ht="21" hidden="false" customHeight="true" outlineLevel="0" collapsed="false">
      <c r="C349" s="144" t="n">
        <f aca="false">47300</f>
        <v>47300</v>
      </c>
      <c r="D349" s="81" t="n">
        <f aca="false">3</f>
        <v>3</v>
      </c>
      <c r="E349" s="81" t="str">
        <f aca="false">'W Sites'!C9</f>
        <v>S04</v>
      </c>
      <c r="F349" s="145" t="n">
        <f aca="false">'W Sites'!$G$9*MAX(0,EOMONTH(C349,0)-MAX(C349,'W Sites'!$F$9)+1)/DAY(EOMONTH(C349,0))</f>
        <v>1</v>
      </c>
      <c r="G349" s="145" t="n">
        <f aca="false">'W Sites'!$G$9*MAX(0,EOMONTH(C349,0)-MAX(C349,'W Sites'!$F$9,'W Assumptions'!$D$58)+1)/DAY(EOMONTH(C349,0))</f>
        <v>1</v>
      </c>
      <c r="H349" s="81" t="n">
        <f aca="false">'W Sites'!$H$9*F349*'W Sites'!$I$9*IF(((YEAR(C349)-YEAR('W Sites'!$F$9))*12+MONTH(C349)-MONTH('W Sites'!$F$9))=0,'W Assumptions'!$D$62,IF(((YEAR(C349)-YEAR('W Sites'!$F$9))*12+MONTH(C349)-MONTH('W Sites'!$F$9))=1,'W Assumptions'!$D$63,1))*INDEX('W Assumptions'!$D$7:$F$7,1,D349)*INDEX('W Assumptions'!$D$32:$F$32,1,D349)*INDEX('W Assumptions'!$D$80:$D$91,MONTH(C349),1)/AVERAGE('W Assumptions'!$D$80:$D$91)</f>
        <v>1897.5</v>
      </c>
      <c r="I349" s="81" t="n">
        <f aca="false">H349*'W Sites'!$J$9/(1+'W Assumptions'!$D$39)*INDEX('W Assumptions'!$D$12:$F$12,1,D349)*INDEX('W Assumptions'!$D$33:$F$33,1,D349)</f>
        <v>113781.525</v>
      </c>
      <c r="J349" s="81" t="n">
        <f aca="false">H349*'W Sites'!$K$9/(1+'W Assumptions'!$D$39)*INDEX('W Assumptions'!$D$12:$F$12,1,D349)*INDEX('W Assumptions'!$D$33:$F$33,1,D349)</f>
        <v>12253.395</v>
      </c>
      <c r="K349" s="81" t="n">
        <f aca="false">'W Sites'!$L$9*F349*IF(((YEAR(C349)-YEAR('W Sites'!$F$9))*12+MONTH(C349)-MONTH('W Sites'!$F$9))=0,'W Assumptions'!$D$62,IF(((YEAR(C349)-YEAR('W Sites'!$F$9))*12+MONTH(C349)-MONTH('W Sites'!$F$9))=1,'W Assumptions'!$D$63,1))*INDEX('W Assumptions'!$D$7:$F$7,1,D349)*INDEX('W Assumptions'!$D$32:$F$32,1,D349)</f>
        <v>17820</v>
      </c>
      <c r="L349" s="81" t="n">
        <f aca="false">SUM(I349:K349)</f>
        <v>143854.92</v>
      </c>
      <c r="M349" s="81" t="n">
        <f aca="false">'W Site Costs'!$I$9*F349*INDEX('W Assumptions'!$D$34:$F$34,1,D349)*INDEX('W Assumptions'!$D$22:$F$22,1,D349)</f>
        <v>41630.4</v>
      </c>
      <c r="N349" s="81" t="n">
        <f aca="false">'W Site Costs'!$J$9*F349*INDEX('W Assumptions'!$D$35:$F$35,1,D349)*INDEX('W Assumptions'!$D$22:$F$22,1,D349)</f>
        <v>23795.2</v>
      </c>
      <c r="O349" s="81" t="n">
        <f aca="false">L349*'W Site Costs'!$K$9</f>
        <v>0</v>
      </c>
      <c r="P349" s="81" t="n">
        <f aca="false">SUM('W Site Costs'!$L$9:$Q$9)*F349*INDEX('W Assumptions'!$D$35:$F$35,1,D349)*INDEX('W Assumptions'!$D$22:$F$22,1,D349)</f>
        <v>16764.8</v>
      </c>
      <c r="Q349" s="81" t="n">
        <f aca="false">L349*'W Site Costs'!$R$9*INDEX('W Assumptions'!$D$17:$F$17,1,D349)</f>
        <v>11508.3936</v>
      </c>
      <c r="R349" s="112" t="n">
        <f aca="false">L349*'W Sites'!$M$9</f>
        <v>0</v>
      </c>
      <c r="S349" s="81" t="n">
        <f aca="false">SUM(M349:R349)</f>
        <v>93698.7936</v>
      </c>
      <c r="T349" s="81" t="n">
        <f aca="false">L349-S349</f>
        <v>50156.1264</v>
      </c>
      <c r="U349" s="81" t="n">
        <f aca="false">IF(C349='W Budget &amp; Owners'!$I$9,'W Budget &amp; Owners'!$F$9*'W Sites'!$G$9,0)</f>
        <v>0</v>
      </c>
      <c r="V349" s="81" t="n">
        <f aca="false">'W Sites'!$G$9*'W Budget &amp; Owners'!$E$9*INDEX('W Assumptions'!$D$27:$F$27,1,D349)*(IF(C349='W Budget &amp; Owners'!$I$9,'W Assumptions'!$D$65,0)+IF(C349=DATE(YEAR('W Sites'!$F$9),MONTH('W Sites'!$F$9),1),1-'W Assumptions'!$D$65,0))+'W Sites'!$G$9*'W Budget &amp; Owners'!$E$9*IF(C349=DATE(2027,9,1),'W Assumptions'!$D$67,IF(C349=DATE(2028,9,1),'W Assumptions'!$D$69,0))</f>
        <v>0</v>
      </c>
      <c r="W349" s="81" t="n">
        <f aca="false">IF(((YEAR(C349)-YEAR('W Sites'!$F$9))*12+MONTH(C349)-MONTH('W Sites'!$F$9))&lt;'W Budget &amp; Owners'!$H$9,'W Budget &amp; Owners'!$E$9/'W Budget &amp; Owners'!$H$9*F349,0)+IF(C349&gt;=DATE(2027,9,1),'W Budget &amp; Owners'!$E$9*'W Assumptions'!$D$67/'W Budget &amp; Owners'!$H$9*F349,0)+IF(C349&gt;=DATE(2028,9,1),'W Budget &amp; Owners'!$E$9*'W Assumptions'!$D$69/'W Budget &amp; Owners'!$H$9*F349,0)</f>
        <v>8750</v>
      </c>
      <c r="X349" s="81" t="n">
        <f aca="false">IF(C349='W Budget &amp; Owners'!$I$9,'W Budget &amp; Owners'!$G$9*'W Sites'!$G$9,0)</f>
        <v>0</v>
      </c>
      <c r="Y349" s="112" t="n">
        <f aca="false">IF(SUM($G$346:$G$355)=0,0,'W Fees &amp; KPI'!$Q$40*G349/SUM($G$346:$G$355))</f>
        <v>3932.33171724073</v>
      </c>
      <c r="Z349" s="119" t="n">
        <f aca="false">IF(SUM($G$346:$G$355)=0,0,SUM('W Fees &amp; KPI'!$J$40,'W Fees &amp; KPI'!$M$40)*G349/SUM($G$346:$G$355))</f>
        <v>5223.75</v>
      </c>
      <c r="AA349" s="117" t="n">
        <f aca="false">T349-U349-Z349-Y349</f>
        <v>41000.0446827593</v>
      </c>
      <c r="AB349" s="119" t="n">
        <f aca="false">IF('W Fees &amp; KPI'!$D$40=0,0,T349-U349-Z349)</f>
        <v>44932.3764</v>
      </c>
    </row>
    <row r="350" customFormat="false" ht="21" hidden="false" customHeight="true" outlineLevel="0" collapsed="false">
      <c r="C350" s="144" t="n">
        <f aca="false">47300</f>
        <v>47300</v>
      </c>
      <c r="D350" s="81" t="n">
        <f aca="false">3</f>
        <v>3</v>
      </c>
      <c r="E350" s="81" t="str">
        <f aca="false">'W Sites'!C10</f>
        <v>S05</v>
      </c>
      <c r="F350" s="145" t="n">
        <f aca="false">'W Sites'!$G$10*MAX(0,EOMONTH(C350,0)-MAX(C350,'W Sites'!$F$10)+1)/DAY(EOMONTH(C350,0))</f>
        <v>1</v>
      </c>
      <c r="G350" s="145" t="n">
        <f aca="false">'W Sites'!$G$10*MAX(0,EOMONTH(C350,0)-MAX(C350,'W Sites'!$F$10,'W Assumptions'!$D$58)+1)/DAY(EOMONTH(C350,0))</f>
        <v>1</v>
      </c>
      <c r="H350" s="81" t="n">
        <f aca="false">'W Sites'!$H$10*F350*'W Sites'!$I$10*IF(((YEAR(C350)-YEAR('W Sites'!$F$10))*12+MONTH(C350)-MONTH('W Sites'!$F$10))=0,'W Assumptions'!$D$62,IF(((YEAR(C350)-YEAR('W Sites'!$F$10))*12+MONTH(C350)-MONTH('W Sites'!$F$10))=1,'W Assumptions'!$D$63,1))*INDEX('W Assumptions'!$D$7:$F$7,1,D350)*INDEX('W Assumptions'!$D$32:$F$32,1,D350)*INDEX('W Assumptions'!$D$80:$D$91,MONTH(C350),1)/AVERAGE('W Assumptions'!$D$80:$D$91)</f>
        <v>2425.47287671233</v>
      </c>
      <c r="I350" s="81" t="n">
        <f aca="false">H350*'W Sites'!$J$10/(1+'W Assumptions'!$D$39)*INDEX('W Assumptions'!$D$12:$F$12,1,D350)*INDEX('W Assumptions'!$D$33:$F$33,1,D350)</f>
        <v>145440.844668493</v>
      </c>
      <c r="J350" s="81" t="n">
        <f aca="false">H350*'W Sites'!$K$10/(1+'W Assumptions'!$D$39)*INDEX('W Assumptions'!$D$12:$F$12,1,D350)*INDEX('W Assumptions'!$D$33:$F$33,1,D350)</f>
        <v>17900.4116515069</v>
      </c>
      <c r="K350" s="81" t="n">
        <f aca="false">'W Sites'!$L$10*F350*IF(((YEAR(C350)-YEAR('W Sites'!$F$10))*12+MONTH(C350)-MONTH('W Sites'!$F$10))=0,'W Assumptions'!$D$62,IF(((YEAR(C350)-YEAR('W Sites'!$F$10))*12+MONTH(C350)-MONTH('W Sites'!$F$10))=1,'W Assumptions'!$D$63,1))*INDEX('W Assumptions'!$D$7:$F$7,1,D350)*INDEX('W Assumptions'!$D$32:$F$32,1,D350)</f>
        <v>21384</v>
      </c>
      <c r="L350" s="81" t="n">
        <f aca="false">SUM(I350:K350)</f>
        <v>184725.25632</v>
      </c>
      <c r="M350" s="81" t="n">
        <f aca="false">'W Site Costs'!$I$10*F350*INDEX('W Assumptions'!$D$34:$F$34,1,D350)*INDEX('W Assumptions'!$D$22:$F$22,1,D350)</f>
        <v>52948.665</v>
      </c>
      <c r="N350" s="81" t="n">
        <f aca="false">'W Site Costs'!$J$10*F350*INDEX('W Assumptions'!$D$35:$F$35,1,D350)*INDEX('W Assumptions'!$D$22:$F$22,1,D350)</f>
        <v>32448</v>
      </c>
      <c r="O350" s="81" t="n">
        <f aca="false">L350*'W Site Costs'!$K$10</f>
        <v>0</v>
      </c>
      <c r="P350" s="81" t="n">
        <f aca="false">SUM('W Site Costs'!$L$10:$Q$10)*F350*INDEX('W Assumptions'!$D$35:$F$35,1,D350)*INDEX('W Assumptions'!$D$22:$F$22,1,D350)</f>
        <v>20550.4</v>
      </c>
      <c r="Q350" s="81" t="n">
        <f aca="false">L350*'W Site Costs'!$R$10*INDEX('W Assumptions'!$D$17:$F$17,1,D350)</f>
        <v>14778.0205056</v>
      </c>
      <c r="R350" s="112" t="n">
        <f aca="false">L350*'W Sites'!$M$10</f>
        <v>0</v>
      </c>
      <c r="S350" s="81" t="n">
        <f aca="false">SUM(M350:R350)</f>
        <v>120725.0855056</v>
      </c>
      <c r="T350" s="81" t="n">
        <f aca="false">L350-S350</f>
        <v>64000.1708144</v>
      </c>
      <c r="U350" s="81" t="n">
        <f aca="false">IF(C350='W Budget &amp; Owners'!$I$10,'W Budget &amp; Owners'!$F$10*'W Sites'!$G$10,0)</f>
        <v>0</v>
      </c>
      <c r="V350" s="81" t="n">
        <f aca="false">'W Sites'!$G$10*'W Budget &amp; Owners'!$E$10*INDEX('W Assumptions'!$D$27:$F$27,1,D350)*(IF(C350='W Budget &amp; Owners'!$I$10,'W Assumptions'!$D$65,0)+IF(C350=DATE(YEAR('W Sites'!$F$10),MONTH('W Sites'!$F$10),1),1-'W Assumptions'!$D$65,0))+'W Sites'!$G$10*'W Budget &amp; Owners'!$E$10*IF(C350=DATE(2027,9,1),'W Assumptions'!$D$67,IF(C350=DATE(2028,9,1),'W Assumptions'!$D$69,0))</f>
        <v>0</v>
      </c>
      <c r="W350" s="81" t="n">
        <f aca="false">IF(((YEAR(C350)-YEAR('W Sites'!$F$10))*12+MONTH(C350)-MONTH('W Sites'!$F$10))&lt;'W Budget &amp; Owners'!$H$10,'W Budget &amp; Owners'!$E$10/'W Budget &amp; Owners'!$H$10*F350,0)+IF(C350&gt;=DATE(2027,9,1),'W Budget &amp; Owners'!$E$10*'W Assumptions'!$D$67/'W Budget &amp; Owners'!$H$10*F350,0)+IF(C350&gt;=DATE(2028,9,1),'W Budget &amp; Owners'!$E$10*'W Assumptions'!$D$69/'W Budget &amp; Owners'!$H$10*F350,0)</f>
        <v>13125</v>
      </c>
      <c r="X350" s="81" t="n">
        <f aca="false">IF(C350='W Budget &amp; Owners'!$I$10,'W Budget &amp; Owners'!$G$10*'W Sites'!$G$10,0)</f>
        <v>0</v>
      </c>
      <c r="Y350" s="112" t="n">
        <f aca="false">IF(SUM($G$346:$G$355)=0,0,'W Fees &amp; KPI'!$Q$40*G350/SUM($G$346:$G$355))</f>
        <v>3932.33171724073</v>
      </c>
      <c r="Z350" s="119" t="n">
        <f aca="false">IF(SUM($G$346:$G$355)=0,0,SUM('W Fees &amp; KPI'!$J$40,'W Fees &amp; KPI'!$M$40)*G350/SUM($G$346:$G$355))</f>
        <v>5223.75</v>
      </c>
      <c r="AA350" s="117" t="n">
        <f aca="false">T350-U350-Z350-Y350</f>
        <v>54844.0890971593</v>
      </c>
      <c r="AB350" s="119" t="n">
        <f aca="false">IF('W Fees &amp; KPI'!$D$40=0,0,T350-U350-Z350)</f>
        <v>58776.4208144</v>
      </c>
    </row>
    <row r="351" customFormat="false" ht="21" hidden="false" customHeight="true" outlineLevel="0" collapsed="false">
      <c r="C351" s="144" t="n">
        <f aca="false">47300</f>
        <v>47300</v>
      </c>
      <c r="D351" s="81" t="n">
        <f aca="false">3</f>
        <v>3</v>
      </c>
      <c r="E351" s="81" t="str">
        <f aca="false">'W Sites'!C11</f>
        <v>S06</v>
      </c>
      <c r="F351" s="145" t="n">
        <f aca="false">'W Sites'!$G$11*MAX(0,EOMONTH(C351,0)-MAX(C351,'W Sites'!$F$11)+1)/DAY(EOMONTH(C351,0))</f>
        <v>1</v>
      </c>
      <c r="G351" s="145" t="n">
        <f aca="false">'W Sites'!$G$11*MAX(0,EOMONTH(C351,0)-MAX(C351,'W Sites'!$F$11,'W Assumptions'!$D$58)+1)/DAY(EOMONTH(C351,0))</f>
        <v>1</v>
      </c>
      <c r="H351" s="81" t="n">
        <f aca="false">'W Sites'!$H$11*F351*'W Sites'!$I$11*IF(((YEAR(C351)-YEAR('W Sites'!$F$11))*12+MONTH(C351)-MONTH('W Sites'!$F$11))=0,'W Assumptions'!$D$62,IF(((YEAR(C351)-YEAR('W Sites'!$F$11))*12+MONTH(C351)-MONTH('W Sites'!$F$11))=1,'W Assumptions'!$D$63,1))*INDEX('W Assumptions'!$D$7:$F$7,1,D351)*INDEX('W Assumptions'!$D$32:$F$32,1,D351)*INDEX('W Assumptions'!$D$80:$D$91,MONTH(C351),1)/AVERAGE('W Assumptions'!$D$80:$D$91)</f>
        <v>741.312</v>
      </c>
      <c r="I351" s="81" t="n">
        <f aca="false">H351*'W Sites'!$J$11/(1+'W Assumptions'!$D$39)*INDEX('W Assumptions'!$D$12:$F$12,1,D351)*INDEX('W Assumptions'!$D$33:$F$33,1,D351)</f>
        <v>41032.5861286957</v>
      </c>
      <c r="J351" s="81" t="n">
        <f aca="false">H351*'W Sites'!$K$11/(1+'W Assumptions'!$D$39)*INDEX('W Assumptions'!$D$12:$F$12,1,D351)*INDEX('W Assumptions'!$D$33:$F$33,1,D351)</f>
        <v>2051.62930643478</v>
      </c>
      <c r="K351" s="81" t="n">
        <f aca="false">'W Sites'!$L$11*F351*IF(((YEAR(C351)-YEAR('W Sites'!$F$11))*12+MONTH(C351)-MONTH('W Sites'!$F$11))=0,'W Assumptions'!$D$62,IF(((YEAR(C351)-YEAR('W Sites'!$F$11))*12+MONTH(C351)-MONTH('W Sites'!$F$11))=1,'W Assumptions'!$D$63,1))*INDEX('W Assumptions'!$D$7:$F$7,1,D351)*INDEX('W Assumptions'!$D$32:$F$32,1,D351)</f>
        <v>23760</v>
      </c>
      <c r="L351" s="81" t="n">
        <f aca="false">SUM(I351:K351)</f>
        <v>66844.2154351304</v>
      </c>
      <c r="M351" s="81" t="n">
        <f aca="false">'W Site Costs'!$I$11*F351*INDEX('W Assumptions'!$D$34:$F$34,1,D351)*INDEX('W Assumptions'!$D$22:$F$22,1,D351)</f>
        <v>26279.19</v>
      </c>
      <c r="N351" s="81" t="n">
        <f aca="false">'W Site Costs'!$J$11*F351*INDEX('W Assumptions'!$D$35:$F$35,1,D351)*INDEX('W Assumptions'!$D$22:$F$22,1,D351)</f>
        <v>5408</v>
      </c>
      <c r="O351" s="81" t="n">
        <f aca="false">L351*'W Site Costs'!$K$11</f>
        <v>0</v>
      </c>
      <c r="P351" s="81" t="n">
        <f aca="false">SUM('W Site Costs'!$L$11:$Q$11)*F351*INDEX('W Assumptions'!$D$35:$F$35,1,D351)*INDEX('W Assumptions'!$D$22:$F$22,1,D351)</f>
        <v>8652.8</v>
      </c>
      <c r="Q351" s="81" t="n">
        <f aca="false">L351*'W Site Costs'!$R$11*INDEX('W Assumptions'!$D$17:$F$17,1,D351)</f>
        <v>6684.42154351304</v>
      </c>
      <c r="R351" s="112" t="n">
        <f aca="false">L351*'W Sites'!$M$11</f>
        <v>0</v>
      </c>
      <c r="S351" s="81" t="n">
        <f aca="false">SUM(M351:R351)</f>
        <v>47024.411543513</v>
      </c>
      <c r="T351" s="81" t="n">
        <f aca="false">L351-S351</f>
        <v>19819.8038916174</v>
      </c>
      <c r="U351" s="81" t="n">
        <f aca="false">IF(C351='W Budget &amp; Owners'!$I$11,'W Budget &amp; Owners'!$F$11*'W Sites'!$G$11,0)</f>
        <v>0</v>
      </c>
      <c r="V351" s="81" t="n">
        <f aca="false">'W Sites'!$G$11*'W Budget &amp; Owners'!$E$11*INDEX('W Assumptions'!$D$27:$F$27,1,D351)*(IF(C351='W Budget &amp; Owners'!$I$11,'W Assumptions'!$D$65,0)+IF(C351=DATE(YEAR('W Sites'!$F$11),MONTH('W Sites'!$F$11),1),1-'W Assumptions'!$D$65,0))+'W Sites'!$G$11*'W Budget &amp; Owners'!$E$11*IF(C351=DATE(2027,9,1),'W Assumptions'!$D$67,IF(C351=DATE(2028,9,1),'W Assumptions'!$D$69,0))</f>
        <v>0</v>
      </c>
      <c r="W351" s="81" t="n">
        <f aca="false">IF(((YEAR(C351)-YEAR('W Sites'!$F$11))*12+MONTH(C351)-MONTH('W Sites'!$F$11))&lt;'W Budget &amp; Owners'!$H$11,'W Budget &amp; Owners'!$E$11/'W Budget &amp; Owners'!$H$11*F351,0)+IF(C351&gt;=DATE(2027,9,1),'W Budget &amp; Owners'!$E$11*'W Assumptions'!$D$67/'W Budget &amp; Owners'!$H$11*F351,0)+IF(C351&gt;=DATE(2028,9,1),'W Budget &amp; Owners'!$E$11*'W Assumptions'!$D$69/'W Budget &amp; Owners'!$H$11*F351,0)</f>
        <v>2625</v>
      </c>
      <c r="X351" s="81" t="n">
        <f aca="false">IF(C351='W Budget &amp; Owners'!$I$11,'W Budget &amp; Owners'!$G$11*'W Sites'!$G$11,0)</f>
        <v>0</v>
      </c>
      <c r="Y351" s="112" t="n">
        <f aca="false">IF(SUM($G$346:$G$355)=0,0,'W Fees &amp; KPI'!$Q$40*G351/SUM($G$346:$G$355))</f>
        <v>3932.33171724073</v>
      </c>
      <c r="Z351" s="119" t="n">
        <f aca="false">IF(SUM($G$346:$G$355)=0,0,SUM('W Fees &amp; KPI'!$J$40,'W Fees &amp; KPI'!$M$40)*G351/SUM($G$346:$G$355))</f>
        <v>5223.75</v>
      </c>
      <c r="AA351" s="117" t="n">
        <f aca="false">T351-U351-Z351-Y351</f>
        <v>10663.7221743767</v>
      </c>
      <c r="AB351" s="119" t="n">
        <f aca="false">IF('W Fees &amp; KPI'!$D$40=0,0,T351-U351-Z351)</f>
        <v>14596.0538916174</v>
      </c>
    </row>
    <row r="352" customFormat="false" ht="21" hidden="false" customHeight="true" outlineLevel="0" collapsed="false">
      <c r="C352" s="144" t="n">
        <f aca="false">47300</f>
        <v>47300</v>
      </c>
      <c r="D352" s="81" t="n">
        <f aca="false">3</f>
        <v>3</v>
      </c>
      <c r="E352" s="81" t="str">
        <f aca="false">'W Sites'!C12</f>
        <v>S07</v>
      </c>
      <c r="F352" s="145" t="n">
        <f aca="false">'W Sites'!$G$12*MAX(0,EOMONTH(C352,0)-MAX(C352,'W Sites'!$F$12)+1)/DAY(EOMONTH(C352,0))</f>
        <v>1</v>
      </c>
      <c r="G352" s="145" t="n">
        <f aca="false">'W Sites'!$G$12*MAX(0,EOMONTH(C352,0)-MAX(C352,'W Sites'!$F$12,'W Assumptions'!$D$58)+1)/DAY(EOMONTH(C352,0))</f>
        <v>1</v>
      </c>
      <c r="H352" s="81" t="n">
        <f aca="false">'W Sites'!$H$12*F352*'W Sites'!$I$12*IF(((YEAR(C352)-YEAR('W Sites'!$F$12))*12+MONTH(C352)-MONTH('W Sites'!$F$12))=0,'W Assumptions'!$D$62,IF(((YEAR(C352)-YEAR('W Sites'!$F$12))*12+MONTH(C352)-MONTH('W Sites'!$F$12))=1,'W Assumptions'!$D$63,1))*INDEX('W Assumptions'!$D$7:$F$7,1,D352)*INDEX('W Assumptions'!$D$32:$F$32,1,D352)*INDEX('W Assumptions'!$D$80:$D$91,MONTH(C352),1)/AVERAGE('W Assumptions'!$D$80:$D$91)</f>
        <v>864.864</v>
      </c>
      <c r="I352" s="81" t="n">
        <f aca="false">H352*'W Sites'!$J$12/(1+'W Assumptions'!$D$39)*INDEX('W Assumptions'!$D$12:$F$12,1,D352)*INDEX('W Assumptions'!$D$33:$F$33,1,D352)</f>
        <v>47871.3504834783</v>
      </c>
      <c r="J352" s="81" t="n">
        <f aca="false">H352*'W Sites'!$K$12/(1+'W Assumptions'!$D$39)*INDEX('W Assumptions'!$D$12:$F$12,1,D352)*INDEX('W Assumptions'!$D$33:$F$33,1,D352)</f>
        <v>2393.56752417391</v>
      </c>
      <c r="K352" s="81" t="n">
        <f aca="false">'W Sites'!$L$12*F352*IF(((YEAR(C352)-YEAR('W Sites'!$F$12))*12+MONTH(C352)-MONTH('W Sites'!$F$12))=0,'W Assumptions'!$D$62,IF(((YEAR(C352)-YEAR('W Sites'!$F$12))*12+MONTH(C352)-MONTH('W Sites'!$F$12))=1,'W Assumptions'!$D$63,1))*INDEX('W Assumptions'!$D$7:$F$7,1,D352)*INDEX('W Assumptions'!$D$32:$F$32,1,D352)</f>
        <v>21384</v>
      </c>
      <c r="L352" s="81" t="n">
        <f aca="false">SUM(I352:K352)</f>
        <v>71648.9180076522</v>
      </c>
      <c r="M352" s="81" t="n">
        <f aca="false">'W Site Costs'!$I$12*F352*INDEX('W Assumptions'!$D$34:$F$34,1,D352)*INDEX('W Assumptions'!$D$22:$F$22,1,D352)</f>
        <v>26279.19</v>
      </c>
      <c r="N352" s="81" t="n">
        <f aca="false">'W Site Costs'!$J$12*F352*INDEX('W Assumptions'!$D$35:$F$35,1,D352)*INDEX('W Assumptions'!$D$22:$F$22,1,D352)</f>
        <v>8652.8</v>
      </c>
      <c r="O352" s="81" t="n">
        <f aca="false">L352*'W Site Costs'!$K$12</f>
        <v>0</v>
      </c>
      <c r="P352" s="81" t="n">
        <f aca="false">SUM('W Site Costs'!$L$12:$Q$12)*F352*INDEX('W Assumptions'!$D$35:$F$35,1,D352)*INDEX('W Assumptions'!$D$22:$F$22,1,D352)</f>
        <v>9193.6</v>
      </c>
      <c r="Q352" s="81" t="n">
        <f aca="false">L352*'W Site Costs'!$R$12*INDEX('W Assumptions'!$D$17:$F$17,1,D352)</f>
        <v>7164.89180076522</v>
      </c>
      <c r="R352" s="112" t="n">
        <f aca="false">L352*'W Sites'!$M$12</f>
        <v>0</v>
      </c>
      <c r="S352" s="81" t="n">
        <f aca="false">SUM(M352:R352)</f>
        <v>51290.4818007652</v>
      </c>
      <c r="T352" s="81" t="n">
        <f aca="false">L352-S352</f>
        <v>20358.436206887</v>
      </c>
      <c r="U352" s="81" t="n">
        <f aca="false">IF(C352='W Budget &amp; Owners'!$I$12,'W Budget &amp; Owners'!$F$12*'W Sites'!$G$12,0)</f>
        <v>0</v>
      </c>
      <c r="V352" s="81" t="n">
        <f aca="false">'W Sites'!$G$12*'W Budget &amp; Owners'!$E$12*INDEX('W Assumptions'!$D$27:$F$27,1,D352)*(IF(C352='W Budget &amp; Owners'!$I$12,'W Assumptions'!$D$65,0)+IF(C352=DATE(YEAR('W Sites'!$F$12),MONTH('W Sites'!$F$12),1),1-'W Assumptions'!$D$65,0))+'W Sites'!$G$12*'W Budget &amp; Owners'!$E$12*IF(C352=DATE(2027,9,1),'W Assumptions'!$D$67,IF(C352=DATE(2028,9,1),'W Assumptions'!$D$69,0))</f>
        <v>0</v>
      </c>
      <c r="W352" s="81" t="n">
        <f aca="false">IF(((YEAR(C352)-YEAR('W Sites'!$F$12))*12+MONTH(C352)-MONTH('W Sites'!$F$12))&lt;'W Budget &amp; Owners'!$H$12,'W Budget &amp; Owners'!$E$12/'W Budget &amp; Owners'!$H$12*F352,0)+IF(C352&gt;=DATE(2027,9,1),'W Budget &amp; Owners'!$E$12*'W Assumptions'!$D$67/'W Budget &amp; Owners'!$H$12*F352,0)+IF(C352&gt;=DATE(2028,9,1),'W Budget &amp; Owners'!$E$12*'W Assumptions'!$D$69/'W Budget &amp; Owners'!$H$12*F352,0)</f>
        <v>7875</v>
      </c>
      <c r="X352" s="81" t="n">
        <f aca="false">IF(C352='W Budget &amp; Owners'!$I$12,'W Budget &amp; Owners'!$G$12*'W Sites'!$G$12,0)</f>
        <v>0</v>
      </c>
      <c r="Y352" s="112" t="n">
        <f aca="false">IF(SUM($G$346:$G$355)=0,0,'W Fees &amp; KPI'!$Q$40*G352/SUM($G$346:$G$355))</f>
        <v>3932.33171724073</v>
      </c>
      <c r="Z352" s="119" t="n">
        <f aca="false">IF(SUM($G$346:$G$355)=0,0,SUM('W Fees &amp; KPI'!$J$40,'W Fees &amp; KPI'!$M$40)*G352/SUM($G$346:$G$355))</f>
        <v>5223.75</v>
      </c>
      <c r="AA352" s="117" t="n">
        <f aca="false">T352-U352-Z352-Y352</f>
        <v>11202.3544896462</v>
      </c>
      <c r="AB352" s="119" t="n">
        <f aca="false">IF('W Fees &amp; KPI'!$D$40=0,0,T352-U352-Z352)</f>
        <v>15134.686206887</v>
      </c>
    </row>
    <row r="353" customFormat="false" ht="21" hidden="false" customHeight="true" outlineLevel="0" collapsed="false">
      <c r="C353" s="144" t="n">
        <f aca="false">47300</f>
        <v>47300</v>
      </c>
      <c r="D353" s="81" t="n">
        <f aca="false">3</f>
        <v>3</v>
      </c>
      <c r="E353" s="81" t="str">
        <f aca="false">'W Sites'!C13</f>
        <v>S08</v>
      </c>
      <c r="F353" s="145" t="n">
        <f aca="false">'W Sites'!$G$13*MAX(0,EOMONTH(C353,0)-MAX(C353,'W Sites'!$F$13)+1)/DAY(EOMONTH(C353,0))</f>
        <v>1</v>
      </c>
      <c r="G353" s="145" t="n">
        <f aca="false">'W Sites'!$G$13*MAX(0,EOMONTH(C353,0)-MAX(C353,'W Sites'!$F$13,'W Assumptions'!$D$58)+1)/DAY(EOMONTH(C353,0))</f>
        <v>1</v>
      </c>
      <c r="H353" s="81" t="n">
        <f aca="false">'W Sites'!$H$13*F353*'W Sites'!$I$13*IF(((YEAR(C353)-YEAR('W Sites'!$F$13))*12+MONTH(C353)-MONTH('W Sites'!$F$13))=0,'W Assumptions'!$D$62,IF(((YEAR(C353)-YEAR('W Sites'!$F$13))*12+MONTH(C353)-MONTH('W Sites'!$F$13))=1,'W Assumptions'!$D$63,1))*INDEX('W Assumptions'!$D$7:$F$7,1,D353)*INDEX('W Assumptions'!$D$32:$F$32,1,D353)*INDEX('W Assumptions'!$D$80:$D$91,MONTH(C353),1)/AVERAGE('W Assumptions'!$D$80:$D$91)</f>
        <v>3706.56</v>
      </c>
      <c r="I353" s="81" t="n">
        <f aca="false">H353*'W Sites'!$J$13/(1+'W Assumptions'!$D$39)*INDEX('W Assumptions'!$D$12:$F$12,1,D353)*INDEX('W Assumptions'!$D$33:$F$33,1,D353)</f>
        <v>136775.287095652</v>
      </c>
      <c r="J353" s="81" t="n">
        <f aca="false">H353*'W Sites'!$K$13/(1+'W Assumptions'!$D$39)*INDEX('W Assumptions'!$D$12:$F$12,1,D353)*INDEX('W Assumptions'!$D$33:$F$33,1,D353)</f>
        <v>17096.9108869565</v>
      </c>
      <c r="K353" s="81" t="n">
        <f aca="false">'W Sites'!$L$13*F353*IF(((YEAR(C353)-YEAR('W Sites'!$F$13))*12+MONTH(C353)-MONTH('W Sites'!$F$13))=0,'W Assumptions'!$D$62,IF(((YEAR(C353)-YEAR('W Sites'!$F$13))*12+MONTH(C353)-MONTH('W Sites'!$F$13))=1,'W Assumptions'!$D$63,1))*INDEX('W Assumptions'!$D$7:$F$7,1,D353)*INDEX('W Assumptions'!$D$32:$F$32,1,D353)</f>
        <v>17820</v>
      </c>
      <c r="L353" s="81" t="n">
        <f aca="false">SUM(I353:K353)</f>
        <v>171692.197982609</v>
      </c>
      <c r="M353" s="81" t="n">
        <f aca="false">'W Site Costs'!$I$13*F353*INDEX('W Assumptions'!$D$34:$F$34,1,D353)*INDEX('W Assumptions'!$D$22:$F$22,1,D353)</f>
        <v>58802.94</v>
      </c>
      <c r="N353" s="81" t="n">
        <f aca="false">'W Site Costs'!$J$13*F353*INDEX('W Assumptions'!$D$35:$F$35,1,D353)*INDEX('W Assumptions'!$D$22:$F$22,1,D353)</f>
        <v>0</v>
      </c>
      <c r="O353" s="81" t="n">
        <f aca="false">L353*'W Site Costs'!$K$13</f>
        <v>17169.2197982609</v>
      </c>
      <c r="P353" s="81" t="n">
        <f aca="false">SUM('W Site Costs'!$L$13:$Q$13)*F353*INDEX('W Assumptions'!$D$35:$F$35,1,D353)*INDEX('W Assumptions'!$D$22:$F$22,1,D353)</f>
        <v>27580.8</v>
      </c>
      <c r="Q353" s="81" t="n">
        <f aca="false">L353*'W Site Costs'!$R$13*INDEX('W Assumptions'!$D$17:$F$17,1,D353)</f>
        <v>13735.3758386087</v>
      </c>
      <c r="R353" s="112" t="n">
        <f aca="false">L353*'W Sites'!$M$13</f>
        <v>0</v>
      </c>
      <c r="S353" s="81" t="n">
        <f aca="false">SUM(M353:R353)</f>
        <v>117288.33563687</v>
      </c>
      <c r="T353" s="81" t="n">
        <f aca="false">L353-S353</f>
        <v>54403.8623457391</v>
      </c>
      <c r="U353" s="81" t="n">
        <f aca="false">IF(C353='W Budget &amp; Owners'!$I$13,'W Budget &amp; Owners'!$F$13*'W Sites'!$G$13,0)</f>
        <v>0</v>
      </c>
      <c r="V353" s="81" t="n">
        <f aca="false">'W Sites'!$G$13*'W Budget &amp; Owners'!$E$13*INDEX('W Assumptions'!$D$27:$F$27,1,D353)*(IF(C353='W Budget &amp; Owners'!$I$13,'W Assumptions'!$D$65,0)+IF(C353=DATE(YEAR('W Sites'!$F$13),MONTH('W Sites'!$F$13),1),1-'W Assumptions'!$D$65,0))+'W Sites'!$G$13*'W Budget &amp; Owners'!$E$13*IF(C353=DATE(2027,9,1),'W Assumptions'!$D$67,IF(C353=DATE(2028,9,1),'W Assumptions'!$D$69,0))</f>
        <v>0</v>
      </c>
      <c r="W353" s="81" t="n">
        <f aca="false">IF(((YEAR(C353)-YEAR('W Sites'!$F$13))*12+MONTH(C353)-MONTH('W Sites'!$F$13))&lt;'W Budget &amp; Owners'!$H$13,'W Budget &amp; Owners'!$E$13/'W Budget &amp; Owners'!$H$13*F353,0)+IF(C353&gt;=DATE(2027,9,1),'W Budget &amp; Owners'!$E$13*'W Assumptions'!$D$67/'W Budget &amp; Owners'!$H$13*F353,0)+IF(C353&gt;=DATE(2028,9,1),'W Budget &amp; Owners'!$E$13*'W Assumptions'!$D$69/'W Budget &amp; Owners'!$H$13*F353,0)</f>
        <v>21000</v>
      </c>
      <c r="X353" s="81" t="n">
        <f aca="false">IF(C353='W Budget &amp; Owners'!$I$13,'W Budget &amp; Owners'!$G$13*'W Sites'!$G$13,0)</f>
        <v>0</v>
      </c>
      <c r="Y353" s="112" t="n">
        <f aca="false">IF(SUM($G$346:$G$355)=0,0,'W Fees &amp; KPI'!$Q$40*G353/SUM($G$346:$G$355))</f>
        <v>3932.33171724073</v>
      </c>
      <c r="Z353" s="119" t="n">
        <f aca="false">IF(SUM($G$346:$G$355)=0,0,SUM('W Fees &amp; KPI'!$J$40,'W Fees &amp; KPI'!$M$40)*G353/SUM($G$346:$G$355))</f>
        <v>5223.75</v>
      </c>
      <c r="AA353" s="117" t="n">
        <f aca="false">T353-U353-Z353-Y353</f>
        <v>45247.7806284984</v>
      </c>
      <c r="AB353" s="119" t="n">
        <f aca="false">IF('W Fees &amp; KPI'!$D$40=0,0,T353-U353-Z353)</f>
        <v>49180.1123457391</v>
      </c>
    </row>
    <row r="354" customFormat="false" ht="21" hidden="false" customHeight="true" outlineLevel="0" collapsed="false">
      <c r="C354" s="144" t="n">
        <f aca="false">47300</f>
        <v>47300</v>
      </c>
      <c r="D354" s="81" t="n">
        <f aca="false">3</f>
        <v>3</v>
      </c>
      <c r="E354" s="81" t="str">
        <f aca="false">'W Sites'!C14</f>
        <v>S09</v>
      </c>
      <c r="F354" s="145" t="n">
        <f aca="false">'W Sites'!$G$14*MAX(0,EOMONTH(C354,0)-MAX(C354,'W Sites'!$F$14)+1)/DAY(EOMONTH(C354,0))</f>
        <v>0</v>
      </c>
      <c r="G354" s="145" t="n">
        <f aca="false">'W Sites'!$G$14*MAX(0,EOMONTH(C354,0)-MAX(C354,'W Sites'!$F$14,'W Assumptions'!$D$58)+1)/DAY(EOMONTH(C354,0))</f>
        <v>0</v>
      </c>
      <c r="H354" s="81" t="n">
        <f aca="false">'W Sites'!$H$14*F354*'W Sites'!$I$14*IF(((YEAR(C354)-YEAR('W Sites'!$F$14))*12+MONTH(C354)-MONTH('W Sites'!$F$14))=0,'W Assumptions'!$D$62,IF(((YEAR(C354)-YEAR('W Sites'!$F$14))*12+MONTH(C354)-MONTH('W Sites'!$F$14))=1,'W Assumptions'!$D$63,1))*INDEX('W Assumptions'!$D$7:$F$7,1,D354)*INDEX('W Assumptions'!$D$32:$F$32,1,D354)*INDEX('W Assumptions'!$D$80:$D$91,MONTH(C354),1)/AVERAGE('W Assumptions'!$D$80:$D$91)</f>
        <v>0</v>
      </c>
      <c r="I354" s="81" t="n">
        <f aca="false">H354*'W Sites'!$J$14/(1+'W Assumptions'!$D$39)*INDEX('W Assumptions'!$D$12:$F$12,1,D354)*INDEX('W Assumptions'!$D$33:$F$33,1,D354)</f>
        <v>0</v>
      </c>
      <c r="J354" s="81" t="n">
        <f aca="false">H354*'W Sites'!$K$14/(1+'W Assumptions'!$D$39)*INDEX('W Assumptions'!$D$12:$F$12,1,D354)*INDEX('W Assumptions'!$D$33:$F$33,1,D354)</f>
        <v>0</v>
      </c>
      <c r="K354" s="81" t="n">
        <f aca="false">'W Sites'!$L$14*F354*IF(((YEAR(C354)-YEAR('W Sites'!$F$14))*12+MONTH(C354)-MONTH('W Sites'!$F$14))=0,'W Assumptions'!$D$62,IF(((YEAR(C354)-YEAR('W Sites'!$F$14))*12+MONTH(C354)-MONTH('W Sites'!$F$14))=1,'W Assumptions'!$D$63,1))*INDEX('W Assumptions'!$D$7:$F$7,1,D354)*INDEX('W Assumptions'!$D$32:$F$32,1,D354)</f>
        <v>0</v>
      </c>
      <c r="L354" s="81" t="n">
        <f aca="false">SUM(I354:K354)</f>
        <v>0</v>
      </c>
      <c r="M354" s="81" t="n">
        <f aca="false">'W Site Costs'!$I$14*F354*INDEX('W Assumptions'!$D$34:$F$34,1,D354)*INDEX('W Assumptions'!$D$22:$F$22,1,D354)</f>
        <v>0</v>
      </c>
      <c r="N354" s="81" t="n">
        <f aca="false">'W Site Costs'!$J$14*F354*INDEX('W Assumptions'!$D$35:$F$35,1,D354)*INDEX('W Assumptions'!$D$22:$F$22,1,D354)</f>
        <v>0</v>
      </c>
      <c r="O354" s="81" t="n">
        <f aca="false">L354*'W Site Costs'!$K$14</f>
        <v>0</v>
      </c>
      <c r="P354" s="81" t="n">
        <f aca="false">SUM('W Site Costs'!$L$14:$Q$14)*F354*INDEX('W Assumptions'!$D$35:$F$35,1,D354)*INDEX('W Assumptions'!$D$22:$F$22,1,D354)</f>
        <v>0</v>
      </c>
      <c r="Q354" s="81" t="n">
        <f aca="false">L354*'W Site Costs'!$R$14*INDEX('W Assumptions'!$D$17:$F$17,1,D354)</f>
        <v>0</v>
      </c>
      <c r="R354" s="112" t="n">
        <f aca="false">L354*'W Sites'!$M$14</f>
        <v>0</v>
      </c>
      <c r="S354" s="81" t="n">
        <f aca="false">SUM(M354:R354)</f>
        <v>0</v>
      </c>
      <c r="T354" s="81" t="n">
        <f aca="false">L354-S354</f>
        <v>0</v>
      </c>
      <c r="U354" s="81" t="n">
        <f aca="false">IF(C354='W Budget &amp; Owners'!$I$14,'W Budget &amp; Owners'!$F$14*'W Sites'!$G$14,0)</f>
        <v>0</v>
      </c>
      <c r="V354" s="81" t="n">
        <f aca="false">'W Sites'!$G$14*'W Budget &amp; Owners'!$E$14*INDEX('W Assumptions'!$D$27:$F$27,1,D354)*(IF(C354='W Budget &amp; Owners'!$I$14,'W Assumptions'!$D$65,0)+IF(C354=DATE(YEAR('W Sites'!$F$14),MONTH('W Sites'!$F$14),1),1-'W Assumptions'!$D$65,0))+'W Sites'!$G$14*'W Budget &amp; Owners'!$E$14*IF(C354=DATE(2027,9,1),'W Assumptions'!$D$67,IF(C354=DATE(2028,9,1),'W Assumptions'!$D$69,0))</f>
        <v>0</v>
      </c>
      <c r="W354" s="81" t="n">
        <f aca="false">IF(((YEAR(C354)-YEAR('W Sites'!$F$14))*12+MONTH(C354)-MONTH('W Sites'!$F$14))&lt;'W Budget &amp; Owners'!$H$14,'W Budget &amp; Owners'!$E$14/'W Budget &amp; Owners'!$H$14*F354,0)+IF(C354&gt;=DATE(2027,9,1),'W Budget &amp; Owners'!$E$14*'W Assumptions'!$D$67/'W Budget &amp; Owners'!$H$14*F354,0)+IF(C354&gt;=DATE(2028,9,1),'W Budget &amp; Owners'!$E$14*'W Assumptions'!$D$69/'W Budget &amp; Owners'!$H$14*F354,0)</f>
        <v>0</v>
      </c>
      <c r="X354" s="81" t="n">
        <f aca="false">IF(C354='W Budget &amp; Owners'!$I$14,'W Budget &amp; Owners'!$G$14*'W Sites'!$G$14,0)</f>
        <v>0</v>
      </c>
      <c r="Y354" s="112" t="n">
        <f aca="false">IF(SUM($G$346:$G$355)=0,0,'W Fees &amp; KPI'!$Q$40*G354/SUM($G$346:$G$355))</f>
        <v>0</v>
      </c>
      <c r="Z354" s="119" t="n">
        <f aca="false">IF(SUM($G$346:$G$355)=0,0,SUM('W Fees &amp; KPI'!$J$40,'W Fees &amp; KPI'!$M$40)*G354/SUM($G$346:$G$355))</f>
        <v>0</v>
      </c>
      <c r="AA354" s="117" t="n">
        <f aca="false">T354-U354-Z354-Y354</f>
        <v>0</v>
      </c>
      <c r="AB354" s="119" t="n">
        <f aca="false">IF('W Fees &amp; KPI'!$D$40=0,0,T354-U354-Z354)</f>
        <v>0</v>
      </c>
    </row>
    <row r="355" customFormat="false" ht="21" hidden="false" customHeight="true" outlineLevel="0" collapsed="false">
      <c r="C355" s="144" t="n">
        <f aca="false">47300</f>
        <v>47300</v>
      </c>
      <c r="D355" s="81" t="n">
        <f aca="false">3</f>
        <v>3</v>
      </c>
      <c r="E355" s="81" t="str">
        <f aca="false">'W Sites'!C15</f>
        <v>S10</v>
      </c>
      <c r="F355" s="145" t="n">
        <f aca="false">'W Sites'!$G$15*MAX(0,EOMONTH(C355,0)-MAX(C355,'W Sites'!$F$15)+1)/DAY(EOMONTH(C355,0))</f>
        <v>0</v>
      </c>
      <c r="G355" s="145" t="n">
        <f aca="false">'W Sites'!$G$15*MAX(0,EOMONTH(C355,0)-MAX(C355,'W Sites'!$F$15,'W Assumptions'!$D$58)+1)/DAY(EOMONTH(C355,0))</f>
        <v>0</v>
      </c>
      <c r="H355" s="81" t="n">
        <f aca="false">'W Sites'!$H$15*F355*'W Sites'!$I$15*IF(((YEAR(C355)-YEAR('W Sites'!$F$15))*12+MONTH(C355)-MONTH('W Sites'!$F$15))=0,'W Assumptions'!$D$62,IF(((YEAR(C355)-YEAR('W Sites'!$F$15))*12+MONTH(C355)-MONTH('W Sites'!$F$15))=1,'W Assumptions'!$D$63,1))*INDEX('W Assumptions'!$D$7:$F$7,1,D355)*INDEX('W Assumptions'!$D$32:$F$32,1,D355)*INDEX('W Assumptions'!$D$80:$D$91,MONTH(C355),1)/AVERAGE('W Assumptions'!$D$80:$D$91)</f>
        <v>0</v>
      </c>
      <c r="I355" s="81" t="n">
        <f aca="false">H355*'W Sites'!$J$15/(1+'W Assumptions'!$D$39)*INDEX('W Assumptions'!$D$12:$F$12,1,D355)*INDEX('W Assumptions'!$D$33:$F$33,1,D355)</f>
        <v>0</v>
      </c>
      <c r="J355" s="81" t="n">
        <f aca="false">H355*'W Sites'!$K$15/(1+'W Assumptions'!$D$39)*INDEX('W Assumptions'!$D$12:$F$12,1,D355)*INDEX('W Assumptions'!$D$33:$F$33,1,D355)</f>
        <v>0</v>
      </c>
      <c r="K355" s="81" t="n">
        <f aca="false">'W Sites'!$L$15*F355*IF(((YEAR(C355)-YEAR('W Sites'!$F$15))*12+MONTH(C355)-MONTH('W Sites'!$F$15))=0,'W Assumptions'!$D$62,IF(((YEAR(C355)-YEAR('W Sites'!$F$15))*12+MONTH(C355)-MONTH('W Sites'!$F$15))=1,'W Assumptions'!$D$63,1))*INDEX('W Assumptions'!$D$7:$F$7,1,D355)*INDEX('W Assumptions'!$D$32:$F$32,1,D355)</f>
        <v>0</v>
      </c>
      <c r="L355" s="81" t="n">
        <f aca="false">SUM(I355:K355)</f>
        <v>0</v>
      </c>
      <c r="M355" s="81" t="n">
        <f aca="false">'W Site Costs'!$I$15*F355*INDEX('W Assumptions'!$D$34:$F$34,1,D355)*INDEX('W Assumptions'!$D$22:$F$22,1,D355)</f>
        <v>0</v>
      </c>
      <c r="N355" s="81" t="n">
        <f aca="false">'W Site Costs'!$J$15*F355*INDEX('W Assumptions'!$D$35:$F$35,1,D355)*INDEX('W Assumptions'!$D$22:$F$22,1,D355)</f>
        <v>0</v>
      </c>
      <c r="O355" s="81" t="n">
        <f aca="false">L355*'W Site Costs'!$K$15</f>
        <v>0</v>
      </c>
      <c r="P355" s="81" t="n">
        <f aca="false">SUM('W Site Costs'!$L$15:$Q$15)*F355*INDEX('W Assumptions'!$D$35:$F$35,1,D355)*INDEX('W Assumptions'!$D$22:$F$22,1,D355)</f>
        <v>0</v>
      </c>
      <c r="Q355" s="81" t="n">
        <f aca="false">L355*'W Site Costs'!$R$15*INDEX('W Assumptions'!$D$17:$F$17,1,D355)</f>
        <v>0</v>
      </c>
      <c r="R355" s="112" t="n">
        <f aca="false">L355*'W Sites'!$M$15</f>
        <v>0</v>
      </c>
      <c r="S355" s="81" t="n">
        <f aca="false">SUM(M355:R355)</f>
        <v>0</v>
      </c>
      <c r="T355" s="81" t="n">
        <f aca="false">L355-S355</f>
        <v>0</v>
      </c>
      <c r="U355" s="81" t="n">
        <f aca="false">IF(C355='W Budget &amp; Owners'!$I$15,'W Budget &amp; Owners'!$F$15*'W Sites'!$G$15,0)</f>
        <v>0</v>
      </c>
      <c r="V355" s="81" t="n">
        <f aca="false">'W Sites'!$G$15*'W Budget &amp; Owners'!$E$15*INDEX('W Assumptions'!$D$27:$F$27,1,D355)*(IF(C355='W Budget &amp; Owners'!$I$15,'W Assumptions'!$D$65,0)+IF(C355=DATE(YEAR('W Sites'!$F$15),MONTH('W Sites'!$F$15),1),1-'W Assumptions'!$D$65,0))+'W Sites'!$G$15*'W Budget &amp; Owners'!$E$15*IF(C355=DATE(2027,9,1),'W Assumptions'!$D$67,IF(C355=DATE(2028,9,1),'W Assumptions'!$D$69,0))</f>
        <v>0</v>
      </c>
      <c r="W355" s="81" t="n">
        <f aca="false">IF(((YEAR(C355)-YEAR('W Sites'!$F$15))*12+MONTH(C355)-MONTH('W Sites'!$F$15))&lt;'W Budget &amp; Owners'!$H$15,'W Budget &amp; Owners'!$E$15/'W Budget &amp; Owners'!$H$15*F355,0)+IF(C355&gt;=DATE(2027,9,1),'W Budget &amp; Owners'!$E$15*'W Assumptions'!$D$67/'W Budget &amp; Owners'!$H$15*F355,0)+IF(C355&gt;=DATE(2028,9,1),'W Budget &amp; Owners'!$E$15*'W Assumptions'!$D$69/'W Budget &amp; Owners'!$H$15*F355,0)</f>
        <v>0</v>
      </c>
      <c r="X355" s="81" t="n">
        <f aca="false">IF(C355='W Budget &amp; Owners'!$I$15,'W Budget &amp; Owners'!$G$15*'W Sites'!$G$15,0)</f>
        <v>0</v>
      </c>
      <c r="Y355" s="112" t="n">
        <f aca="false">IF(SUM($G$346:$G$355)=0,0,'W Fees &amp; KPI'!$Q$40*G355/SUM($G$346:$G$355))</f>
        <v>0</v>
      </c>
      <c r="Z355" s="119" t="n">
        <f aca="false">IF(SUM($G$346:$G$355)=0,0,SUM('W Fees &amp; KPI'!$J$40,'W Fees &amp; KPI'!$M$40)*G355/SUM($G$346:$G$355))</f>
        <v>0</v>
      </c>
      <c r="AA355" s="117" t="n">
        <f aca="false">T355-U355-Z355-Y355</f>
        <v>0</v>
      </c>
      <c r="AB355" s="119" t="n">
        <f aca="false">IF('W Fees &amp; KPI'!$D$40=0,0,T355-U355-Z355)</f>
        <v>0</v>
      </c>
    </row>
    <row r="356" customFormat="false" ht="21" hidden="false" customHeight="true" outlineLevel="0" collapsed="false">
      <c r="C356" s="144" t="n">
        <f aca="false">47331</f>
        <v>47331</v>
      </c>
      <c r="D356" s="81" t="n">
        <f aca="false">3</f>
        <v>3</v>
      </c>
      <c r="E356" s="81" t="str">
        <f aca="false">'W Sites'!C6</f>
        <v>S01</v>
      </c>
      <c r="F356" s="145" t="n">
        <f aca="false">'W Sites'!$G$6*MAX(0,EOMONTH(C356,0)-MAX(C356,'W Sites'!$F$6)+1)/DAY(EOMONTH(C356,0))</f>
        <v>1</v>
      </c>
      <c r="G356" s="145" t="n">
        <f aca="false">'W Sites'!$G$6*MAX(0,EOMONTH(C356,0)-MAX(C356,'W Sites'!$F$6,'W Assumptions'!$D$58)+1)/DAY(EOMONTH(C356,0))</f>
        <v>1</v>
      </c>
      <c r="H356" s="81" t="n">
        <f aca="false">'W Sites'!$D$45*INDEX('W Sites'!$E$65:$E$76,MONTH(C356),1)/SUM('W Sites'!$E$65:$E$76)*F356*(1+'W Sites'!$D$56)^(D356-1)*INDEX('W Assumptions'!$D$7:$F$7,1,D356)</f>
        <v>5925.8664</v>
      </c>
      <c r="I356" s="81" t="n">
        <f aca="false">H356*'W Sites'!$D$46/(1+'W Sites'!$D$54*'W Assumptions'!$D$39)*INDEX('W Assumptions'!$D$12:$F$12,1,D356)</f>
        <v>325922.652</v>
      </c>
      <c r="J356" s="81" t="n">
        <f aca="false">H356*SUM('W Sites'!$D$47:$D$49)/(1+'W Sites'!$D$54*'W Assumptions'!$D$39)*INDEX('W Assumptions'!$D$12:$F$12,1,D356)</f>
        <v>177775.992</v>
      </c>
      <c r="K356" s="81" t="n">
        <f aca="false">SUM('W Sites'!$D$50:$D$52)/12*F356*(1+'W Sites'!$D$56)^(D356-1)*INDEX('W Assumptions'!$D$7:$F$7,1,D356)*INDEX('W Assumptions'!$D$12:$F$12,1,D356)/(1+'W Sites'!$D$54*'W Assumptions'!$D$39)</f>
        <v>37453.3333333333</v>
      </c>
      <c r="L356" s="81" t="n">
        <f aca="false">SUM(I356:K356)</f>
        <v>541151.977333334</v>
      </c>
      <c r="M356" s="81" t="n">
        <f aca="false">('W Site Costs'!$I$6+INDEX('W Sites'!$F$65:$F$76,MONTH(C356),1)*'W Site Costs'!$V$6)*F356*(1+'W Sites'!$D$58)^(D356-1)*INDEX('W Assumptions'!$D$22:$F$22,1,D356)</f>
        <v>117353.6</v>
      </c>
      <c r="N356" s="81" t="n">
        <f aca="false">'W Site Costs'!$J$6*F356*INDEX('W Assumptions'!$D$35:$F$35,1,D356)*INDEX('W Assumptions'!$D$22:$F$22,1,D356)</f>
        <v>16224</v>
      </c>
      <c r="O356" s="81" t="n">
        <f aca="false">L356*'W Site Costs'!$K$6</f>
        <v>0</v>
      </c>
      <c r="P356" s="81" t="n">
        <f aca="false">(SUM('W Site Costs'!$L$6:$Q$6)+INDEX('W Sites'!$F$65:$F$76,MONTH(C356),1)*'W Site Costs'!$W$6)*F356*(1+'W Sites'!$D$58)^(D356-1)*INDEX('W Assumptions'!$D$22:$F$22,1,D356)</f>
        <v>80038.4</v>
      </c>
      <c r="Q356" s="81" t="n">
        <f aca="false">('W Site Costs'!$X$6+INDEX('W Sites'!$F$65:$F$76,MONTH(C356),1)*'W Site Costs'!$Y$6)*F356*(1+'W Sites'!$D$58)^(D356-1)*INDEX('W Assumptions'!$D$17:$F$17,1,D356)</f>
        <v>19468.8</v>
      </c>
      <c r="R356" s="112" t="n">
        <f aca="false">L356*'W Sites'!$M$6</f>
        <v>0</v>
      </c>
      <c r="S356" s="81" t="n">
        <f aca="false">SUM(M356:R356)</f>
        <v>233084.8</v>
      </c>
      <c r="T356" s="81" t="n">
        <f aca="false">L356-S356</f>
        <v>308067.177333334</v>
      </c>
      <c r="U356" s="81" t="n">
        <f aca="false">IF(C356='W Budget &amp; Owners'!$I$6,'W Budget &amp; Owners'!$F$6*'W Sites'!$G$6,0)</f>
        <v>0</v>
      </c>
      <c r="V356" s="81" t="n">
        <f aca="false">'W Sites'!$G$6*'W Budget &amp; Owners'!$E$6*INDEX('W Assumptions'!$D$27:$F$27,1,D356)*(IF(C356='W Budget &amp; Owners'!$I$6,'W Assumptions'!$D$65,0)+IF(C356=DATE(YEAR('W Sites'!$F$6),MONTH('W Sites'!$F$6),1),1-'W Assumptions'!$D$65,0))+'W Sites'!$G$6*'W Budget &amp; Owners'!$E$6*IF(C356=DATE(2027,9,1),'W Assumptions'!$D$67,IF(C356=DATE(2028,9,1),'W Assumptions'!$D$69,0))</f>
        <v>0</v>
      </c>
      <c r="W356" s="81" t="n">
        <f aca="false">IF(((YEAR(C356)-YEAR('W Sites'!$F$6))*12+MONTH(C356)-MONTH('W Sites'!$F$6))&lt;'W Budget &amp; Owners'!$H$6,'W Budget &amp; Owners'!$E$6/'W Budget &amp; Owners'!$H$6*F356,0)+IF(C356&gt;=DATE(2027,9,1),'W Budget &amp; Owners'!$E$6*'W Assumptions'!$D$67/'W Budget &amp; Owners'!$H$6*F356,0)+IF(C356&gt;=DATE(2028,9,1),'W Budget &amp; Owners'!$E$6*'W Assumptions'!$D$69/'W Budget &amp; Owners'!$H$6*F356,0)</f>
        <v>6125</v>
      </c>
      <c r="X356" s="81" t="n">
        <f aca="false">IF(C356='W Budget &amp; Owners'!$I$6,'W Budget &amp; Owners'!$G$6*'W Sites'!$G$6,0)</f>
        <v>0</v>
      </c>
      <c r="Y356" s="112" t="n">
        <f aca="false">IF(SUM($G$356:$G$365)=0,0,'W Fees &amp; KPI'!$Q$41*G356/SUM($G$356:$G$365))</f>
        <v>4067.6073269479</v>
      </c>
      <c r="Z356" s="119" t="n">
        <f aca="false">IF(SUM($G$356:$G$365)=0,0,SUM('W Fees &amp; KPI'!$J$41,'W Fees &amp; KPI'!$M$41)*G356/SUM($G$356:$G$365))</f>
        <v>5223.75</v>
      </c>
      <c r="AA356" s="117" t="n">
        <f aca="false">T356-U356-Z356-Y356</f>
        <v>298775.820006386</v>
      </c>
      <c r="AB356" s="119" t="n">
        <f aca="false">IF('W Fees &amp; KPI'!$D$41=0,0,T356-U356-Z356)</f>
        <v>302843.427333334</v>
      </c>
    </row>
    <row r="357" customFormat="false" ht="21" hidden="false" customHeight="true" outlineLevel="0" collapsed="false">
      <c r="C357" s="144" t="n">
        <f aca="false">47331</f>
        <v>47331</v>
      </c>
      <c r="D357" s="81" t="n">
        <f aca="false">3</f>
        <v>3</v>
      </c>
      <c r="E357" s="81" t="str">
        <f aca="false">'W Sites'!C7</f>
        <v>S02</v>
      </c>
      <c r="F357" s="145" t="n">
        <f aca="false">'W Sites'!$G$7*MAX(0,EOMONTH(C357,0)-MAX(C357,'W Sites'!$F$7)+1)/DAY(EOMONTH(C357,0))</f>
        <v>1</v>
      </c>
      <c r="G357" s="145" t="n">
        <f aca="false">'W Sites'!$G$7*MAX(0,EOMONTH(C357,0)-MAX(C357,'W Sites'!$F$7,'W Assumptions'!$D$58)+1)/DAY(EOMONTH(C357,0))</f>
        <v>1</v>
      </c>
      <c r="H357" s="81" t="n">
        <f aca="false">'W Sites'!$H$7*F357*'W Sites'!$I$7*IF(((YEAR(C357)-YEAR('W Sites'!$F$7))*12+MONTH(C357)-MONTH('W Sites'!$F$7))=0,'W Assumptions'!$D$62,IF(((YEAR(C357)-YEAR('W Sites'!$F$7))*12+MONTH(C357)-MONTH('W Sites'!$F$7))=1,'W Assumptions'!$D$63,1))*INDEX('W Assumptions'!$D$7:$F$7,1,D357)*INDEX('W Assumptions'!$D$32:$F$32,1,D357)*INDEX('W Assumptions'!$D$80:$D$91,MONTH(C357),1)/AVERAGE('W Assumptions'!$D$80:$D$91)</f>
        <v>2245.32</v>
      </c>
      <c r="I357" s="81" t="n">
        <f aca="false">H357*'W Sites'!$J$7/(1+'W Assumptions'!$D$39)*INDEX('W Assumptions'!$D$12:$F$12,1,D357)*INDEX('W Assumptions'!$D$33:$F$33,1,D357)</f>
        <v>72497.4778956522</v>
      </c>
      <c r="J357" s="81" t="n">
        <f aca="false">H357*'W Sites'!$K$7/(1+'W Assumptions'!$D$39)*INDEX('W Assumptions'!$D$12:$F$12,1,D357)*INDEX('W Assumptions'!$D$33:$F$33,1,D357)</f>
        <v>6214.06953391304</v>
      </c>
      <c r="K357" s="81" t="n">
        <f aca="false">'W Sites'!$L$7*F357*IF(((YEAR(C357)-YEAR('W Sites'!$F$7))*12+MONTH(C357)-MONTH('W Sites'!$F$7))=0,'W Assumptions'!$D$62,IF(((YEAR(C357)-YEAR('W Sites'!$F$7))*12+MONTH(C357)-MONTH('W Sites'!$F$7))=1,'W Assumptions'!$D$63,1))*INDEX('W Assumptions'!$D$7:$F$7,1,D357)*INDEX('W Assumptions'!$D$32:$F$32,1,D357)</f>
        <v>5940</v>
      </c>
      <c r="L357" s="81" t="n">
        <f aca="false">SUM(I357:K357)</f>
        <v>84651.5474295652</v>
      </c>
      <c r="M357" s="81" t="n">
        <f aca="false">'W Site Costs'!$I$7*F357*INDEX('W Assumptions'!$D$34:$F$34,1,D357)*INDEX('W Assumptions'!$D$22:$F$22,1,D357)</f>
        <v>35776.125</v>
      </c>
      <c r="N357" s="81" t="n">
        <f aca="false">'W Site Costs'!$J$7*F357*INDEX('W Assumptions'!$D$35:$F$35,1,D357)*INDEX('W Assumptions'!$D$22:$F$22,1,D357)</f>
        <v>0</v>
      </c>
      <c r="O357" s="81" t="n">
        <f aca="false">L357*'W Site Costs'!$K$7</f>
        <v>12697.7321144348</v>
      </c>
      <c r="P357" s="81" t="n">
        <f aca="false">SUM('W Site Costs'!$L$7:$Q$7)*F357*INDEX('W Assumptions'!$D$35:$F$35,1,D357)*INDEX('W Assumptions'!$D$22:$F$22,1,D357)</f>
        <v>12654.72</v>
      </c>
      <c r="Q357" s="81" t="n">
        <f aca="false">L357*'W Site Costs'!$R$7*INDEX('W Assumptions'!$D$17:$F$17,1,D357)</f>
        <v>5079.09284577391</v>
      </c>
      <c r="R357" s="112" t="n">
        <f aca="false">L357*'W Sites'!$M$7</f>
        <v>0</v>
      </c>
      <c r="S357" s="81" t="n">
        <f aca="false">SUM(M357:R357)</f>
        <v>66207.6699602087</v>
      </c>
      <c r="T357" s="81" t="n">
        <f aca="false">L357-S357</f>
        <v>18443.8774693565</v>
      </c>
      <c r="U357" s="81" t="n">
        <f aca="false">IF(C357='W Budget &amp; Owners'!$I$7,'W Budget &amp; Owners'!$F$7*'W Sites'!$G$7,0)</f>
        <v>0</v>
      </c>
      <c r="V357" s="81" t="n">
        <f aca="false">'W Sites'!$G$7*'W Budget &amp; Owners'!$E$7*INDEX('W Assumptions'!$D$27:$F$27,1,D357)*(IF(C357='W Budget &amp; Owners'!$I$7,'W Assumptions'!$D$65,0)+IF(C357=DATE(YEAR('W Sites'!$F$7),MONTH('W Sites'!$F$7),1),1-'W Assumptions'!$D$65,0))+'W Sites'!$G$7*'W Budget &amp; Owners'!$E$7*IF(C357=DATE(2027,9,1),'W Assumptions'!$D$67,IF(C357=DATE(2028,9,1),'W Assumptions'!$D$69,0))</f>
        <v>0</v>
      </c>
      <c r="W357" s="81" t="n">
        <f aca="false">IF(((YEAR(C357)-YEAR('W Sites'!$F$7))*12+MONTH(C357)-MONTH('W Sites'!$F$7))&lt;'W Budget &amp; Owners'!$H$7,'W Budget &amp; Owners'!$E$7/'W Budget &amp; Owners'!$H$7*F357,0)+IF(C357&gt;=DATE(2027,9,1),'W Budget &amp; Owners'!$E$7*'W Assumptions'!$D$67/'W Budget &amp; Owners'!$H$7*F357,0)+IF(C357&gt;=DATE(2028,9,1),'W Budget &amp; Owners'!$E$7*'W Assumptions'!$D$69/'W Budget &amp; Owners'!$H$7*F357,0)</f>
        <v>1400</v>
      </c>
      <c r="X357" s="81" t="n">
        <f aca="false">IF(C357='W Budget &amp; Owners'!$I$7,'W Budget &amp; Owners'!$G$7*'W Sites'!$G$7,0)</f>
        <v>0</v>
      </c>
      <c r="Y357" s="112" t="n">
        <f aca="false">IF(SUM($G$356:$G$365)=0,0,'W Fees &amp; KPI'!$Q$41*G357/SUM($G$356:$G$365))</f>
        <v>4067.6073269479</v>
      </c>
      <c r="Z357" s="119" t="n">
        <f aca="false">IF(SUM($G$356:$G$365)=0,0,SUM('W Fees &amp; KPI'!$J$41,'W Fees &amp; KPI'!$M$41)*G357/SUM($G$356:$G$365))</f>
        <v>5223.75</v>
      </c>
      <c r="AA357" s="117" t="n">
        <f aca="false">T357-U357-Z357-Y357</f>
        <v>9152.52014240862</v>
      </c>
      <c r="AB357" s="119" t="n">
        <f aca="false">IF('W Fees &amp; KPI'!$D$41=0,0,T357-U357-Z357)</f>
        <v>13220.1274693565</v>
      </c>
    </row>
    <row r="358" customFormat="false" ht="21" hidden="false" customHeight="true" outlineLevel="0" collapsed="false">
      <c r="C358" s="144" t="n">
        <f aca="false">47331</f>
        <v>47331</v>
      </c>
      <c r="D358" s="81" t="n">
        <f aca="false">3</f>
        <v>3</v>
      </c>
      <c r="E358" s="81" t="str">
        <f aca="false">'W Sites'!C8</f>
        <v>S03</v>
      </c>
      <c r="F358" s="145" t="n">
        <f aca="false">'W Sites'!$G$8*MAX(0,EOMONTH(C358,0)-MAX(C358,'W Sites'!$F$8)+1)/DAY(EOMONTH(C358,0))</f>
        <v>1</v>
      </c>
      <c r="G358" s="145" t="n">
        <f aca="false">'W Sites'!$G$8*MAX(0,EOMONTH(C358,0)-MAX(C358,'W Sites'!$F$8,'W Assumptions'!$D$58)+1)/DAY(EOMONTH(C358,0))</f>
        <v>1</v>
      </c>
      <c r="H358" s="81" t="n">
        <f aca="false">'W Sites'!$H$8*F358*'W Sites'!$I$8*IF(((YEAR(C358)-YEAR('W Sites'!$F$8))*12+MONTH(C358)-MONTH('W Sites'!$F$8))=0,'W Assumptions'!$D$62,IF(((YEAR(C358)-YEAR('W Sites'!$F$8))*12+MONTH(C358)-MONTH('W Sites'!$F$8))=1,'W Assumptions'!$D$63,1))*INDEX('W Assumptions'!$D$7:$F$7,1,D358)*INDEX('W Assumptions'!$D$32:$F$32,1,D358)*INDEX('W Assumptions'!$D$80:$D$91,MONTH(C358),1)/AVERAGE('W Assumptions'!$D$80:$D$91)</f>
        <v>3031.84109589041</v>
      </c>
      <c r="I358" s="81" t="n">
        <f aca="false">H358*'W Sites'!$J$8/(1+'W Assumptions'!$D$39)*INDEX('W Assumptions'!$D$12:$F$12,1,D358)*INDEX('W Assumptions'!$D$33:$F$33,1,D358)</f>
        <v>181801.055835616</v>
      </c>
      <c r="J358" s="81" t="n">
        <f aca="false">H358*'W Sites'!$K$8/(1+'W Assumptions'!$D$39)*INDEX('W Assumptions'!$D$12:$F$12,1,D358)*INDEX('W Assumptions'!$D$33:$F$33,1,D358)</f>
        <v>22375.5145643836</v>
      </c>
      <c r="K358" s="81" t="n">
        <f aca="false">'W Sites'!$L$8*F358*IF(((YEAR(C358)-YEAR('W Sites'!$F$8))*12+MONTH(C358)-MONTH('W Sites'!$F$8))=0,'W Assumptions'!$D$62,IF(((YEAR(C358)-YEAR('W Sites'!$F$8))*12+MONTH(C358)-MONTH('W Sites'!$F$8))=1,'W Assumptions'!$D$63,1))*INDEX('W Assumptions'!$D$7:$F$7,1,D358)*INDEX('W Assumptions'!$D$32:$F$32,1,D358)</f>
        <v>23760</v>
      </c>
      <c r="L358" s="81" t="n">
        <f aca="false">SUM(I358:K358)</f>
        <v>227936.5704</v>
      </c>
      <c r="M358" s="81" t="n">
        <f aca="false">'W Site Costs'!$I$8*F358*INDEX('W Assumptions'!$D$34:$F$34,1,D358)*INDEX('W Assumptions'!$D$22:$F$22,1,D358)</f>
        <v>52948.665</v>
      </c>
      <c r="N358" s="81" t="n">
        <f aca="false">'W Site Costs'!$J$8*F358*INDEX('W Assumptions'!$D$35:$F$35,1,D358)*INDEX('W Assumptions'!$D$22:$F$22,1,D358)</f>
        <v>37856</v>
      </c>
      <c r="O358" s="81" t="n">
        <f aca="false">L358*'W Site Costs'!$K$8</f>
        <v>0</v>
      </c>
      <c r="P358" s="81" t="n">
        <f aca="false">SUM('W Site Costs'!$L$8:$Q$8)*F358*INDEX('W Assumptions'!$D$35:$F$35,1,D358)*INDEX('W Assumptions'!$D$22:$F$22,1,D358)</f>
        <v>21091.2</v>
      </c>
      <c r="Q358" s="81" t="n">
        <f aca="false">L358*'W Site Costs'!$R$8*INDEX('W Assumptions'!$D$17:$F$17,1,D358)</f>
        <v>18234.925632</v>
      </c>
      <c r="R358" s="112" t="n">
        <f aca="false">L358*'W Sites'!$M$8</f>
        <v>0</v>
      </c>
      <c r="S358" s="81" t="n">
        <f aca="false">SUM(M358:R358)</f>
        <v>130130.790632</v>
      </c>
      <c r="T358" s="81" t="n">
        <f aca="false">L358-S358</f>
        <v>97805.779768</v>
      </c>
      <c r="U358" s="81" t="n">
        <f aca="false">IF(C358='W Budget &amp; Owners'!$I$8,'W Budget &amp; Owners'!$F$8*'W Sites'!$G$8,0)</f>
        <v>0</v>
      </c>
      <c r="V358" s="81" t="n">
        <f aca="false">'W Sites'!$G$8*'W Budget &amp; Owners'!$E$8*INDEX('W Assumptions'!$D$27:$F$27,1,D358)*(IF(C358='W Budget &amp; Owners'!$I$8,'W Assumptions'!$D$65,0)+IF(C358=DATE(YEAR('W Sites'!$F$8),MONTH('W Sites'!$F$8),1),1-'W Assumptions'!$D$65,0))+'W Sites'!$G$8*'W Budget &amp; Owners'!$E$8*IF(C358=DATE(2027,9,1),'W Assumptions'!$D$67,IF(C358=DATE(2028,9,1),'W Assumptions'!$D$69,0))</f>
        <v>0</v>
      </c>
      <c r="W358" s="81" t="n">
        <f aca="false">IF(((YEAR(C358)-YEAR('W Sites'!$F$8))*12+MONTH(C358)-MONTH('W Sites'!$F$8))&lt;'W Budget &amp; Owners'!$H$8,'W Budget &amp; Owners'!$E$8/'W Budget &amp; Owners'!$H$8*F358,0)+IF(C358&gt;=DATE(2027,9,1),'W Budget &amp; Owners'!$E$8*'W Assumptions'!$D$67/'W Budget &amp; Owners'!$H$8*F358,0)+IF(C358&gt;=DATE(2028,9,1),'W Budget &amp; Owners'!$E$8*'W Assumptions'!$D$69/'W Budget &amp; Owners'!$H$8*F358,0)</f>
        <v>10500</v>
      </c>
      <c r="X358" s="81" t="n">
        <f aca="false">IF(C358='W Budget &amp; Owners'!$I$8,'W Budget &amp; Owners'!$G$8*'W Sites'!$G$8,0)</f>
        <v>0</v>
      </c>
      <c r="Y358" s="112" t="n">
        <f aca="false">IF(SUM($G$356:$G$365)=0,0,'W Fees &amp; KPI'!$Q$41*G358/SUM($G$356:$G$365))</f>
        <v>4067.6073269479</v>
      </c>
      <c r="Z358" s="119" t="n">
        <f aca="false">IF(SUM($G$356:$G$365)=0,0,SUM('W Fees &amp; KPI'!$J$41,'W Fees &amp; KPI'!$M$41)*G358/SUM($G$356:$G$365))</f>
        <v>5223.75</v>
      </c>
      <c r="AA358" s="117" t="n">
        <f aca="false">T358-U358-Z358-Y358</f>
        <v>88514.4224410521</v>
      </c>
      <c r="AB358" s="119" t="n">
        <f aca="false">IF('W Fees &amp; KPI'!$D$41=0,0,T358-U358-Z358)</f>
        <v>92582.029768</v>
      </c>
    </row>
    <row r="359" customFormat="false" ht="21" hidden="false" customHeight="true" outlineLevel="0" collapsed="false">
      <c r="C359" s="144" t="n">
        <f aca="false">47331</f>
        <v>47331</v>
      </c>
      <c r="D359" s="81" t="n">
        <f aca="false">3</f>
        <v>3</v>
      </c>
      <c r="E359" s="81" t="str">
        <f aca="false">'W Sites'!C9</f>
        <v>S04</v>
      </c>
      <c r="F359" s="145" t="n">
        <f aca="false">'W Sites'!$G$9*MAX(0,EOMONTH(C359,0)-MAX(C359,'W Sites'!$F$9)+1)/DAY(EOMONTH(C359,0))</f>
        <v>1</v>
      </c>
      <c r="G359" s="145" t="n">
        <f aca="false">'W Sites'!$G$9*MAX(0,EOMONTH(C359,0)-MAX(C359,'W Sites'!$F$9,'W Assumptions'!$D$58)+1)/DAY(EOMONTH(C359,0))</f>
        <v>1</v>
      </c>
      <c r="H359" s="81" t="n">
        <f aca="false">'W Sites'!$H$9*F359*'W Sites'!$I$9*IF(((YEAR(C359)-YEAR('W Sites'!$F$9))*12+MONTH(C359)-MONTH('W Sites'!$F$9))=0,'W Assumptions'!$D$62,IF(((YEAR(C359)-YEAR('W Sites'!$F$9))*12+MONTH(C359)-MONTH('W Sites'!$F$9))=1,'W Assumptions'!$D$63,1))*INDEX('W Assumptions'!$D$7:$F$7,1,D359)*INDEX('W Assumptions'!$D$32:$F$32,1,D359)*INDEX('W Assumptions'!$D$80:$D$91,MONTH(C359),1)/AVERAGE('W Assumptions'!$D$80:$D$91)</f>
        <v>2134.6875</v>
      </c>
      <c r="I359" s="81" t="n">
        <f aca="false">H359*'W Sites'!$J$9/(1+'W Assumptions'!$D$39)*INDEX('W Assumptions'!$D$12:$F$12,1,D359)*INDEX('W Assumptions'!$D$33:$F$33,1,D359)</f>
        <v>128004.215625</v>
      </c>
      <c r="J359" s="81" t="n">
        <f aca="false">H359*'W Sites'!$K$9/(1+'W Assumptions'!$D$39)*INDEX('W Assumptions'!$D$12:$F$12,1,D359)*INDEX('W Assumptions'!$D$33:$F$33,1,D359)</f>
        <v>13785.069375</v>
      </c>
      <c r="K359" s="81" t="n">
        <f aca="false">'W Sites'!$L$9*F359*IF(((YEAR(C359)-YEAR('W Sites'!$F$9))*12+MONTH(C359)-MONTH('W Sites'!$F$9))=0,'W Assumptions'!$D$62,IF(((YEAR(C359)-YEAR('W Sites'!$F$9))*12+MONTH(C359)-MONTH('W Sites'!$F$9))=1,'W Assumptions'!$D$63,1))*INDEX('W Assumptions'!$D$7:$F$7,1,D359)*INDEX('W Assumptions'!$D$32:$F$32,1,D359)</f>
        <v>17820</v>
      </c>
      <c r="L359" s="81" t="n">
        <f aca="false">SUM(I359:K359)</f>
        <v>159609.285</v>
      </c>
      <c r="M359" s="81" t="n">
        <f aca="false">'W Site Costs'!$I$9*F359*INDEX('W Assumptions'!$D$34:$F$34,1,D359)*INDEX('W Assumptions'!$D$22:$F$22,1,D359)</f>
        <v>41630.4</v>
      </c>
      <c r="N359" s="81" t="n">
        <f aca="false">'W Site Costs'!$J$9*F359*INDEX('W Assumptions'!$D$35:$F$35,1,D359)*INDEX('W Assumptions'!$D$22:$F$22,1,D359)</f>
        <v>23795.2</v>
      </c>
      <c r="O359" s="81" t="n">
        <f aca="false">L359*'W Site Costs'!$K$9</f>
        <v>0</v>
      </c>
      <c r="P359" s="81" t="n">
        <f aca="false">SUM('W Site Costs'!$L$9:$Q$9)*F359*INDEX('W Assumptions'!$D$35:$F$35,1,D359)*INDEX('W Assumptions'!$D$22:$F$22,1,D359)</f>
        <v>16764.8</v>
      </c>
      <c r="Q359" s="81" t="n">
        <f aca="false">L359*'W Site Costs'!$R$9*INDEX('W Assumptions'!$D$17:$F$17,1,D359)</f>
        <v>12768.7428</v>
      </c>
      <c r="R359" s="112" t="n">
        <f aca="false">L359*'W Sites'!$M$9</f>
        <v>0</v>
      </c>
      <c r="S359" s="81" t="n">
        <f aca="false">SUM(M359:R359)</f>
        <v>94959.1428</v>
      </c>
      <c r="T359" s="81" t="n">
        <f aca="false">L359-S359</f>
        <v>64650.1422</v>
      </c>
      <c r="U359" s="81" t="n">
        <f aca="false">IF(C359='W Budget &amp; Owners'!$I$9,'W Budget &amp; Owners'!$F$9*'W Sites'!$G$9,0)</f>
        <v>0</v>
      </c>
      <c r="V359" s="81" t="n">
        <f aca="false">'W Sites'!$G$9*'W Budget &amp; Owners'!$E$9*INDEX('W Assumptions'!$D$27:$F$27,1,D359)*(IF(C359='W Budget &amp; Owners'!$I$9,'W Assumptions'!$D$65,0)+IF(C359=DATE(YEAR('W Sites'!$F$9),MONTH('W Sites'!$F$9),1),1-'W Assumptions'!$D$65,0))+'W Sites'!$G$9*'W Budget &amp; Owners'!$E$9*IF(C359=DATE(2027,9,1),'W Assumptions'!$D$67,IF(C359=DATE(2028,9,1),'W Assumptions'!$D$69,0))</f>
        <v>0</v>
      </c>
      <c r="W359" s="81" t="n">
        <f aca="false">IF(((YEAR(C359)-YEAR('W Sites'!$F$9))*12+MONTH(C359)-MONTH('W Sites'!$F$9))&lt;'W Budget &amp; Owners'!$H$9,'W Budget &amp; Owners'!$E$9/'W Budget &amp; Owners'!$H$9*F359,0)+IF(C359&gt;=DATE(2027,9,1),'W Budget &amp; Owners'!$E$9*'W Assumptions'!$D$67/'W Budget &amp; Owners'!$H$9*F359,0)+IF(C359&gt;=DATE(2028,9,1),'W Budget &amp; Owners'!$E$9*'W Assumptions'!$D$69/'W Budget &amp; Owners'!$H$9*F359,0)</f>
        <v>8750</v>
      </c>
      <c r="X359" s="81" t="n">
        <f aca="false">IF(C359='W Budget &amp; Owners'!$I$9,'W Budget &amp; Owners'!$G$9*'W Sites'!$G$9,0)</f>
        <v>0</v>
      </c>
      <c r="Y359" s="112" t="n">
        <f aca="false">IF(SUM($G$356:$G$365)=0,0,'W Fees &amp; KPI'!$Q$41*G359/SUM($G$356:$G$365))</f>
        <v>4067.6073269479</v>
      </c>
      <c r="Z359" s="119" t="n">
        <f aca="false">IF(SUM($G$356:$G$365)=0,0,SUM('W Fees &amp; KPI'!$J$41,'W Fees &amp; KPI'!$M$41)*G359/SUM($G$356:$G$365))</f>
        <v>5223.75</v>
      </c>
      <c r="AA359" s="117" t="n">
        <f aca="false">T359-U359-Z359-Y359</f>
        <v>55358.7848730521</v>
      </c>
      <c r="AB359" s="119" t="n">
        <f aca="false">IF('W Fees &amp; KPI'!$D$41=0,0,T359-U359-Z359)</f>
        <v>59426.3922</v>
      </c>
    </row>
    <row r="360" customFormat="false" ht="21" hidden="false" customHeight="true" outlineLevel="0" collapsed="false">
      <c r="C360" s="144" t="n">
        <f aca="false">47331</f>
        <v>47331</v>
      </c>
      <c r="D360" s="81" t="n">
        <f aca="false">3</f>
        <v>3</v>
      </c>
      <c r="E360" s="81" t="str">
        <f aca="false">'W Sites'!C10</f>
        <v>S05</v>
      </c>
      <c r="F360" s="145" t="n">
        <f aca="false">'W Sites'!$G$10*MAX(0,EOMONTH(C360,0)-MAX(C360,'W Sites'!$F$10)+1)/DAY(EOMONTH(C360,0))</f>
        <v>1</v>
      </c>
      <c r="G360" s="145" t="n">
        <f aca="false">'W Sites'!$G$10*MAX(0,EOMONTH(C360,0)-MAX(C360,'W Sites'!$F$10,'W Assumptions'!$D$58)+1)/DAY(EOMONTH(C360,0))</f>
        <v>1</v>
      </c>
      <c r="H360" s="81" t="n">
        <f aca="false">'W Sites'!$H$10*F360*'W Sites'!$I$10*IF(((YEAR(C360)-YEAR('W Sites'!$F$10))*12+MONTH(C360)-MONTH('W Sites'!$F$10))=0,'W Assumptions'!$D$62,IF(((YEAR(C360)-YEAR('W Sites'!$F$10))*12+MONTH(C360)-MONTH('W Sites'!$F$10))=1,'W Assumptions'!$D$63,1))*INDEX('W Assumptions'!$D$7:$F$7,1,D360)*INDEX('W Assumptions'!$D$32:$F$32,1,D360)*INDEX('W Assumptions'!$D$80:$D$91,MONTH(C360),1)/AVERAGE('W Assumptions'!$D$80:$D$91)</f>
        <v>2728.65698630137</v>
      </c>
      <c r="I360" s="81" t="n">
        <f aca="false">H360*'W Sites'!$J$10/(1+'W Assumptions'!$D$39)*INDEX('W Assumptions'!$D$12:$F$12,1,D360)*INDEX('W Assumptions'!$D$33:$F$33,1,D360)</f>
        <v>163620.950252055</v>
      </c>
      <c r="J360" s="81" t="n">
        <f aca="false">H360*'W Sites'!$K$10/(1+'W Assumptions'!$D$39)*INDEX('W Assumptions'!$D$12:$F$12,1,D360)*INDEX('W Assumptions'!$D$33:$F$33,1,D360)</f>
        <v>20137.9631079452</v>
      </c>
      <c r="K360" s="81" t="n">
        <f aca="false">'W Sites'!$L$10*F360*IF(((YEAR(C360)-YEAR('W Sites'!$F$10))*12+MONTH(C360)-MONTH('W Sites'!$F$10))=0,'W Assumptions'!$D$62,IF(((YEAR(C360)-YEAR('W Sites'!$F$10))*12+MONTH(C360)-MONTH('W Sites'!$F$10))=1,'W Assumptions'!$D$63,1))*INDEX('W Assumptions'!$D$7:$F$7,1,D360)*INDEX('W Assumptions'!$D$32:$F$32,1,D360)</f>
        <v>21384</v>
      </c>
      <c r="L360" s="81" t="n">
        <f aca="false">SUM(I360:K360)</f>
        <v>205142.91336</v>
      </c>
      <c r="M360" s="81" t="n">
        <f aca="false">'W Site Costs'!$I$10*F360*INDEX('W Assumptions'!$D$34:$F$34,1,D360)*INDEX('W Assumptions'!$D$22:$F$22,1,D360)</f>
        <v>52948.665</v>
      </c>
      <c r="N360" s="81" t="n">
        <f aca="false">'W Site Costs'!$J$10*F360*INDEX('W Assumptions'!$D$35:$F$35,1,D360)*INDEX('W Assumptions'!$D$22:$F$22,1,D360)</f>
        <v>32448</v>
      </c>
      <c r="O360" s="81" t="n">
        <f aca="false">L360*'W Site Costs'!$K$10</f>
        <v>0</v>
      </c>
      <c r="P360" s="81" t="n">
        <f aca="false">SUM('W Site Costs'!$L$10:$Q$10)*F360*INDEX('W Assumptions'!$D$35:$F$35,1,D360)*INDEX('W Assumptions'!$D$22:$F$22,1,D360)</f>
        <v>20550.4</v>
      </c>
      <c r="Q360" s="81" t="n">
        <f aca="false">L360*'W Site Costs'!$R$10*INDEX('W Assumptions'!$D$17:$F$17,1,D360)</f>
        <v>16411.4330688</v>
      </c>
      <c r="R360" s="112" t="n">
        <f aca="false">L360*'W Sites'!$M$10</f>
        <v>0</v>
      </c>
      <c r="S360" s="81" t="n">
        <f aca="false">SUM(M360:R360)</f>
        <v>122358.4980688</v>
      </c>
      <c r="T360" s="81" t="n">
        <f aca="false">L360-S360</f>
        <v>82784.4152912</v>
      </c>
      <c r="U360" s="81" t="n">
        <f aca="false">IF(C360='W Budget &amp; Owners'!$I$10,'W Budget &amp; Owners'!$F$10*'W Sites'!$G$10,0)</f>
        <v>0</v>
      </c>
      <c r="V360" s="81" t="n">
        <f aca="false">'W Sites'!$G$10*'W Budget &amp; Owners'!$E$10*INDEX('W Assumptions'!$D$27:$F$27,1,D360)*(IF(C360='W Budget &amp; Owners'!$I$10,'W Assumptions'!$D$65,0)+IF(C360=DATE(YEAR('W Sites'!$F$10),MONTH('W Sites'!$F$10),1),1-'W Assumptions'!$D$65,0))+'W Sites'!$G$10*'W Budget &amp; Owners'!$E$10*IF(C360=DATE(2027,9,1),'W Assumptions'!$D$67,IF(C360=DATE(2028,9,1),'W Assumptions'!$D$69,0))</f>
        <v>0</v>
      </c>
      <c r="W360" s="81" t="n">
        <f aca="false">IF(((YEAR(C360)-YEAR('W Sites'!$F$10))*12+MONTH(C360)-MONTH('W Sites'!$F$10))&lt;'W Budget &amp; Owners'!$H$10,'W Budget &amp; Owners'!$E$10/'W Budget &amp; Owners'!$H$10*F360,0)+IF(C360&gt;=DATE(2027,9,1),'W Budget &amp; Owners'!$E$10*'W Assumptions'!$D$67/'W Budget &amp; Owners'!$H$10*F360,0)+IF(C360&gt;=DATE(2028,9,1),'W Budget &amp; Owners'!$E$10*'W Assumptions'!$D$69/'W Budget &amp; Owners'!$H$10*F360,0)</f>
        <v>13125</v>
      </c>
      <c r="X360" s="81" t="n">
        <f aca="false">IF(C360='W Budget &amp; Owners'!$I$10,'W Budget &amp; Owners'!$G$10*'W Sites'!$G$10,0)</f>
        <v>0</v>
      </c>
      <c r="Y360" s="112" t="n">
        <f aca="false">IF(SUM($G$356:$G$365)=0,0,'W Fees &amp; KPI'!$Q$41*G360/SUM($G$356:$G$365))</f>
        <v>4067.6073269479</v>
      </c>
      <c r="Z360" s="119" t="n">
        <f aca="false">IF(SUM($G$356:$G$365)=0,0,SUM('W Fees &amp; KPI'!$J$41,'W Fees &amp; KPI'!$M$41)*G360/SUM($G$356:$G$365))</f>
        <v>5223.75</v>
      </c>
      <c r="AA360" s="117" t="n">
        <f aca="false">T360-U360-Z360-Y360</f>
        <v>73493.0579642521</v>
      </c>
      <c r="AB360" s="119" t="n">
        <f aca="false">IF('W Fees &amp; KPI'!$D$41=0,0,T360-U360-Z360)</f>
        <v>77560.6652912</v>
      </c>
    </row>
    <row r="361" customFormat="false" ht="21" hidden="false" customHeight="true" outlineLevel="0" collapsed="false">
      <c r="C361" s="144" t="n">
        <f aca="false">47331</f>
        <v>47331</v>
      </c>
      <c r="D361" s="81" t="n">
        <f aca="false">3</f>
        <v>3</v>
      </c>
      <c r="E361" s="81" t="str">
        <f aca="false">'W Sites'!C11</f>
        <v>S06</v>
      </c>
      <c r="F361" s="145" t="n">
        <f aca="false">'W Sites'!$G$11*MAX(0,EOMONTH(C361,0)-MAX(C361,'W Sites'!$F$11)+1)/DAY(EOMONTH(C361,0))</f>
        <v>1</v>
      </c>
      <c r="G361" s="145" t="n">
        <f aca="false">'W Sites'!$G$11*MAX(0,EOMONTH(C361,0)-MAX(C361,'W Sites'!$F$11,'W Assumptions'!$D$58)+1)/DAY(EOMONTH(C361,0))</f>
        <v>1</v>
      </c>
      <c r="H361" s="81" t="n">
        <f aca="false">'W Sites'!$H$11*F361*'W Sites'!$I$11*IF(((YEAR(C361)-YEAR('W Sites'!$F$11))*12+MONTH(C361)-MONTH('W Sites'!$F$11))=0,'W Assumptions'!$D$62,IF(((YEAR(C361)-YEAR('W Sites'!$F$11))*12+MONTH(C361)-MONTH('W Sites'!$F$11))=1,'W Assumptions'!$D$63,1))*INDEX('W Assumptions'!$D$7:$F$7,1,D361)*INDEX('W Assumptions'!$D$32:$F$32,1,D361)*INDEX('W Assumptions'!$D$80:$D$91,MONTH(C361),1)/AVERAGE('W Assumptions'!$D$80:$D$91)</f>
        <v>833.976</v>
      </c>
      <c r="I361" s="81" t="n">
        <f aca="false">H361*'W Sites'!$J$11/(1+'W Assumptions'!$D$39)*INDEX('W Assumptions'!$D$12:$F$12,1,D361)*INDEX('W Assumptions'!$D$33:$F$33,1,D361)</f>
        <v>46161.6593947826</v>
      </c>
      <c r="J361" s="81" t="n">
        <f aca="false">H361*'W Sites'!$K$11/(1+'W Assumptions'!$D$39)*INDEX('W Assumptions'!$D$12:$F$12,1,D361)*INDEX('W Assumptions'!$D$33:$F$33,1,D361)</f>
        <v>2308.08296973913</v>
      </c>
      <c r="K361" s="81" t="n">
        <f aca="false">'W Sites'!$L$11*F361*IF(((YEAR(C361)-YEAR('W Sites'!$F$11))*12+MONTH(C361)-MONTH('W Sites'!$F$11))=0,'W Assumptions'!$D$62,IF(((YEAR(C361)-YEAR('W Sites'!$F$11))*12+MONTH(C361)-MONTH('W Sites'!$F$11))=1,'W Assumptions'!$D$63,1))*INDEX('W Assumptions'!$D$7:$F$7,1,D361)*INDEX('W Assumptions'!$D$32:$F$32,1,D361)</f>
        <v>23760</v>
      </c>
      <c r="L361" s="81" t="n">
        <f aca="false">SUM(I361:K361)</f>
        <v>72229.7423645217</v>
      </c>
      <c r="M361" s="81" t="n">
        <f aca="false">'W Site Costs'!$I$11*F361*INDEX('W Assumptions'!$D$34:$F$34,1,D361)*INDEX('W Assumptions'!$D$22:$F$22,1,D361)</f>
        <v>26279.19</v>
      </c>
      <c r="N361" s="81" t="n">
        <f aca="false">'W Site Costs'!$J$11*F361*INDEX('W Assumptions'!$D$35:$F$35,1,D361)*INDEX('W Assumptions'!$D$22:$F$22,1,D361)</f>
        <v>5408</v>
      </c>
      <c r="O361" s="81" t="n">
        <f aca="false">L361*'W Site Costs'!$K$11</f>
        <v>0</v>
      </c>
      <c r="P361" s="81" t="n">
        <f aca="false">SUM('W Site Costs'!$L$11:$Q$11)*F361*INDEX('W Assumptions'!$D$35:$F$35,1,D361)*INDEX('W Assumptions'!$D$22:$F$22,1,D361)</f>
        <v>8652.8</v>
      </c>
      <c r="Q361" s="81" t="n">
        <f aca="false">L361*'W Site Costs'!$R$11*INDEX('W Assumptions'!$D$17:$F$17,1,D361)</f>
        <v>7222.97423645217</v>
      </c>
      <c r="R361" s="112" t="n">
        <f aca="false">L361*'W Sites'!$M$11</f>
        <v>0</v>
      </c>
      <c r="S361" s="81" t="n">
        <f aca="false">SUM(M361:R361)</f>
        <v>47562.9642364522</v>
      </c>
      <c r="T361" s="81" t="n">
        <f aca="false">L361-S361</f>
        <v>24666.7781280696</v>
      </c>
      <c r="U361" s="81" t="n">
        <f aca="false">IF(C361='W Budget &amp; Owners'!$I$11,'W Budget &amp; Owners'!$F$11*'W Sites'!$G$11,0)</f>
        <v>0</v>
      </c>
      <c r="V361" s="81" t="n">
        <f aca="false">'W Sites'!$G$11*'W Budget &amp; Owners'!$E$11*INDEX('W Assumptions'!$D$27:$F$27,1,D361)*(IF(C361='W Budget &amp; Owners'!$I$11,'W Assumptions'!$D$65,0)+IF(C361=DATE(YEAR('W Sites'!$F$11),MONTH('W Sites'!$F$11),1),1-'W Assumptions'!$D$65,0))+'W Sites'!$G$11*'W Budget &amp; Owners'!$E$11*IF(C361=DATE(2027,9,1),'W Assumptions'!$D$67,IF(C361=DATE(2028,9,1),'W Assumptions'!$D$69,0))</f>
        <v>0</v>
      </c>
      <c r="W361" s="81" t="n">
        <f aca="false">IF(((YEAR(C361)-YEAR('W Sites'!$F$11))*12+MONTH(C361)-MONTH('W Sites'!$F$11))&lt;'W Budget &amp; Owners'!$H$11,'W Budget &amp; Owners'!$E$11/'W Budget &amp; Owners'!$H$11*F361,0)+IF(C361&gt;=DATE(2027,9,1),'W Budget &amp; Owners'!$E$11*'W Assumptions'!$D$67/'W Budget &amp; Owners'!$H$11*F361,0)+IF(C361&gt;=DATE(2028,9,1),'W Budget &amp; Owners'!$E$11*'W Assumptions'!$D$69/'W Budget &amp; Owners'!$H$11*F361,0)</f>
        <v>2625</v>
      </c>
      <c r="X361" s="81" t="n">
        <f aca="false">IF(C361='W Budget &amp; Owners'!$I$11,'W Budget &amp; Owners'!$G$11*'W Sites'!$G$11,0)</f>
        <v>0</v>
      </c>
      <c r="Y361" s="112" t="n">
        <f aca="false">IF(SUM($G$356:$G$365)=0,0,'W Fees &amp; KPI'!$Q$41*G361/SUM($G$356:$G$365))</f>
        <v>4067.6073269479</v>
      </c>
      <c r="Z361" s="119" t="n">
        <f aca="false">IF(SUM($G$356:$G$365)=0,0,SUM('W Fees &amp; KPI'!$J$41,'W Fees &amp; KPI'!$M$41)*G361/SUM($G$356:$G$365))</f>
        <v>5223.75</v>
      </c>
      <c r="AA361" s="117" t="n">
        <f aca="false">T361-U361-Z361-Y361</f>
        <v>15375.4208011217</v>
      </c>
      <c r="AB361" s="119" t="n">
        <f aca="false">IF('W Fees &amp; KPI'!$D$41=0,0,T361-U361-Z361)</f>
        <v>19443.0281280696</v>
      </c>
    </row>
    <row r="362" customFormat="false" ht="21" hidden="false" customHeight="true" outlineLevel="0" collapsed="false">
      <c r="C362" s="144" t="n">
        <f aca="false">47331</f>
        <v>47331</v>
      </c>
      <c r="D362" s="81" t="n">
        <f aca="false">3</f>
        <v>3</v>
      </c>
      <c r="E362" s="81" t="str">
        <f aca="false">'W Sites'!C12</f>
        <v>S07</v>
      </c>
      <c r="F362" s="145" t="n">
        <f aca="false">'W Sites'!$G$12*MAX(0,EOMONTH(C362,0)-MAX(C362,'W Sites'!$F$12)+1)/DAY(EOMONTH(C362,0))</f>
        <v>1</v>
      </c>
      <c r="G362" s="145" t="n">
        <f aca="false">'W Sites'!$G$12*MAX(0,EOMONTH(C362,0)-MAX(C362,'W Sites'!$F$12,'W Assumptions'!$D$58)+1)/DAY(EOMONTH(C362,0))</f>
        <v>1</v>
      </c>
      <c r="H362" s="81" t="n">
        <f aca="false">'W Sites'!$H$12*F362*'W Sites'!$I$12*IF(((YEAR(C362)-YEAR('W Sites'!$F$12))*12+MONTH(C362)-MONTH('W Sites'!$F$12))=0,'W Assumptions'!$D$62,IF(((YEAR(C362)-YEAR('W Sites'!$F$12))*12+MONTH(C362)-MONTH('W Sites'!$F$12))=1,'W Assumptions'!$D$63,1))*INDEX('W Assumptions'!$D$7:$F$7,1,D362)*INDEX('W Assumptions'!$D$32:$F$32,1,D362)*INDEX('W Assumptions'!$D$80:$D$91,MONTH(C362),1)/AVERAGE('W Assumptions'!$D$80:$D$91)</f>
        <v>972.972</v>
      </c>
      <c r="I362" s="81" t="n">
        <f aca="false">H362*'W Sites'!$J$12/(1+'W Assumptions'!$D$39)*INDEX('W Assumptions'!$D$12:$F$12,1,D362)*INDEX('W Assumptions'!$D$33:$F$33,1,D362)</f>
        <v>53855.269293913</v>
      </c>
      <c r="J362" s="81" t="n">
        <f aca="false">H362*'W Sites'!$K$12/(1+'W Assumptions'!$D$39)*INDEX('W Assumptions'!$D$12:$F$12,1,D362)*INDEX('W Assumptions'!$D$33:$F$33,1,D362)</f>
        <v>2692.76346469565</v>
      </c>
      <c r="K362" s="81" t="n">
        <f aca="false">'W Sites'!$L$12*F362*IF(((YEAR(C362)-YEAR('W Sites'!$F$12))*12+MONTH(C362)-MONTH('W Sites'!$F$12))=0,'W Assumptions'!$D$62,IF(((YEAR(C362)-YEAR('W Sites'!$F$12))*12+MONTH(C362)-MONTH('W Sites'!$F$12))=1,'W Assumptions'!$D$63,1))*INDEX('W Assumptions'!$D$7:$F$7,1,D362)*INDEX('W Assumptions'!$D$32:$F$32,1,D362)</f>
        <v>21384</v>
      </c>
      <c r="L362" s="81" t="n">
        <f aca="false">SUM(I362:K362)</f>
        <v>77932.0327586087</v>
      </c>
      <c r="M362" s="81" t="n">
        <f aca="false">'W Site Costs'!$I$12*F362*INDEX('W Assumptions'!$D$34:$F$34,1,D362)*INDEX('W Assumptions'!$D$22:$F$22,1,D362)</f>
        <v>26279.19</v>
      </c>
      <c r="N362" s="81" t="n">
        <f aca="false">'W Site Costs'!$J$12*F362*INDEX('W Assumptions'!$D$35:$F$35,1,D362)*INDEX('W Assumptions'!$D$22:$F$22,1,D362)</f>
        <v>8652.8</v>
      </c>
      <c r="O362" s="81" t="n">
        <f aca="false">L362*'W Site Costs'!$K$12</f>
        <v>0</v>
      </c>
      <c r="P362" s="81" t="n">
        <f aca="false">SUM('W Site Costs'!$L$12:$Q$12)*F362*INDEX('W Assumptions'!$D$35:$F$35,1,D362)*INDEX('W Assumptions'!$D$22:$F$22,1,D362)</f>
        <v>9193.6</v>
      </c>
      <c r="Q362" s="81" t="n">
        <f aca="false">L362*'W Site Costs'!$R$12*INDEX('W Assumptions'!$D$17:$F$17,1,D362)</f>
        <v>7793.20327586087</v>
      </c>
      <c r="R362" s="112" t="n">
        <f aca="false">L362*'W Sites'!$M$12</f>
        <v>0</v>
      </c>
      <c r="S362" s="81" t="n">
        <f aca="false">SUM(M362:R362)</f>
        <v>51918.7932758609</v>
      </c>
      <c r="T362" s="81" t="n">
        <f aca="false">L362-S362</f>
        <v>26013.2394827478</v>
      </c>
      <c r="U362" s="81" t="n">
        <f aca="false">IF(C362='W Budget &amp; Owners'!$I$12,'W Budget &amp; Owners'!$F$12*'W Sites'!$G$12,0)</f>
        <v>0</v>
      </c>
      <c r="V362" s="81" t="n">
        <f aca="false">'W Sites'!$G$12*'W Budget &amp; Owners'!$E$12*INDEX('W Assumptions'!$D$27:$F$27,1,D362)*(IF(C362='W Budget &amp; Owners'!$I$12,'W Assumptions'!$D$65,0)+IF(C362=DATE(YEAR('W Sites'!$F$12),MONTH('W Sites'!$F$12),1),1-'W Assumptions'!$D$65,0))+'W Sites'!$G$12*'W Budget &amp; Owners'!$E$12*IF(C362=DATE(2027,9,1),'W Assumptions'!$D$67,IF(C362=DATE(2028,9,1),'W Assumptions'!$D$69,0))</f>
        <v>0</v>
      </c>
      <c r="W362" s="81" t="n">
        <f aca="false">IF(((YEAR(C362)-YEAR('W Sites'!$F$12))*12+MONTH(C362)-MONTH('W Sites'!$F$12))&lt;'W Budget &amp; Owners'!$H$12,'W Budget &amp; Owners'!$E$12/'W Budget &amp; Owners'!$H$12*F362,0)+IF(C362&gt;=DATE(2027,9,1),'W Budget &amp; Owners'!$E$12*'W Assumptions'!$D$67/'W Budget &amp; Owners'!$H$12*F362,0)+IF(C362&gt;=DATE(2028,9,1),'W Budget &amp; Owners'!$E$12*'W Assumptions'!$D$69/'W Budget &amp; Owners'!$H$12*F362,0)</f>
        <v>7875</v>
      </c>
      <c r="X362" s="81" t="n">
        <f aca="false">IF(C362='W Budget &amp; Owners'!$I$12,'W Budget &amp; Owners'!$G$12*'W Sites'!$G$12,0)</f>
        <v>0</v>
      </c>
      <c r="Y362" s="112" t="n">
        <f aca="false">IF(SUM($G$356:$G$365)=0,0,'W Fees &amp; KPI'!$Q$41*G362/SUM($G$356:$G$365))</f>
        <v>4067.6073269479</v>
      </c>
      <c r="Z362" s="119" t="n">
        <f aca="false">IF(SUM($G$356:$G$365)=0,0,SUM('W Fees &amp; KPI'!$J$41,'W Fees &amp; KPI'!$M$41)*G362/SUM($G$356:$G$365))</f>
        <v>5223.75</v>
      </c>
      <c r="AA362" s="117" t="n">
        <f aca="false">T362-U362-Z362-Y362</f>
        <v>16721.8821557999</v>
      </c>
      <c r="AB362" s="119" t="n">
        <f aca="false">IF('W Fees &amp; KPI'!$D$41=0,0,T362-U362-Z362)</f>
        <v>20789.4894827478</v>
      </c>
    </row>
    <row r="363" customFormat="false" ht="21" hidden="false" customHeight="true" outlineLevel="0" collapsed="false">
      <c r="C363" s="144" t="n">
        <f aca="false">47331</f>
        <v>47331</v>
      </c>
      <c r="D363" s="81" t="n">
        <f aca="false">3</f>
        <v>3</v>
      </c>
      <c r="E363" s="81" t="str">
        <f aca="false">'W Sites'!C13</f>
        <v>S08</v>
      </c>
      <c r="F363" s="145" t="n">
        <f aca="false">'W Sites'!$G$13*MAX(0,EOMONTH(C363,0)-MAX(C363,'W Sites'!$F$13)+1)/DAY(EOMONTH(C363,0))</f>
        <v>1</v>
      </c>
      <c r="G363" s="145" t="n">
        <f aca="false">'W Sites'!$G$13*MAX(0,EOMONTH(C363,0)-MAX(C363,'W Sites'!$F$13,'W Assumptions'!$D$58)+1)/DAY(EOMONTH(C363,0))</f>
        <v>1</v>
      </c>
      <c r="H363" s="81" t="n">
        <f aca="false">'W Sites'!$H$13*F363*'W Sites'!$I$13*IF(((YEAR(C363)-YEAR('W Sites'!$F$13))*12+MONTH(C363)-MONTH('W Sites'!$F$13))=0,'W Assumptions'!$D$62,IF(((YEAR(C363)-YEAR('W Sites'!$F$13))*12+MONTH(C363)-MONTH('W Sites'!$F$13))=1,'W Assumptions'!$D$63,1))*INDEX('W Assumptions'!$D$7:$F$7,1,D363)*INDEX('W Assumptions'!$D$32:$F$32,1,D363)*INDEX('W Assumptions'!$D$80:$D$91,MONTH(C363),1)/AVERAGE('W Assumptions'!$D$80:$D$91)</f>
        <v>4169.88</v>
      </c>
      <c r="I363" s="81" t="n">
        <f aca="false">H363*'W Sites'!$J$13/(1+'W Assumptions'!$D$39)*INDEX('W Assumptions'!$D$12:$F$12,1,D363)*INDEX('W Assumptions'!$D$33:$F$33,1,D363)</f>
        <v>153872.197982609</v>
      </c>
      <c r="J363" s="81" t="n">
        <f aca="false">H363*'W Sites'!$K$13/(1+'W Assumptions'!$D$39)*INDEX('W Assumptions'!$D$12:$F$12,1,D363)*INDEX('W Assumptions'!$D$33:$F$33,1,D363)</f>
        <v>19234.0247478261</v>
      </c>
      <c r="K363" s="81" t="n">
        <f aca="false">'W Sites'!$L$13*F363*IF(((YEAR(C363)-YEAR('W Sites'!$F$13))*12+MONTH(C363)-MONTH('W Sites'!$F$13))=0,'W Assumptions'!$D$62,IF(((YEAR(C363)-YEAR('W Sites'!$F$13))*12+MONTH(C363)-MONTH('W Sites'!$F$13))=1,'W Assumptions'!$D$63,1))*INDEX('W Assumptions'!$D$7:$F$7,1,D363)*INDEX('W Assumptions'!$D$32:$F$32,1,D363)</f>
        <v>17820</v>
      </c>
      <c r="L363" s="81" t="n">
        <f aca="false">SUM(I363:K363)</f>
        <v>190926.222730435</v>
      </c>
      <c r="M363" s="81" t="n">
        <f aca="false">'W Site Costs'!$I$13*F363*INDEX('W Assumptions'!$D$34:$F$34,1,D363)*INDEX('W Assumptions'!$D$22:$F$22,1,D363)</f>
        <v>58802.94</v>
      </c>
      <c r="N363" s="81" t="n">
        <f aca="false">'W Site Costs'!$J$13*F363*INDEX('W Assumptions'!$D$35:$F$35,1,D363)*INDEX('W Assumptions'!$D$22:$F$22,1,D363)</f>
        <v>0</v>
      </c>
      <c r="O363" s="81" t="n">
        <f aca="false">L363*'W Site Costs'!$K$13</f>
        <v>19092.6222730435</v>
      </c>
      <c r="P363" s="81" t="n">
        <f aca="false">SUM('W Site Costs'!$L$13:$Q$13)*F363*INDEX('W Assumptions'!$D$35:$F$35,1,D363)*INDEX('W Assumptions'!$D$22:$F$22,1,D363)</f>
        <v>27580.8</v>
      </c>
      <c r="Q363" s="81" t="n">
        <f aca="false">L363*'W Site Costs'!$R$13*INDEX('W Assumptions'!$D$17:$F$17,1,D363)</f>
        <v>15274.0978184348</v>
      </c>
      <c r="R363" s="112" t="n">
        <f aca="false">L363*'W Sites'!$M$13</f>
        <v>0</v>
      </c>
      <c r="S363" s="81" t="n">
        <f aca="false">SUM(M363:R363)</f>
        <v>120750.460091478</v>
      </c>
      <c r="T363" s="81" t="n">
        <f aca="false">L363-S363</f>
        <v>70175.7626389565</v>
      </c>
      <c r="U363" s="81" t="n">
        <f aca="false">IF(C363='W Budget &amp; Owners'!$I$13,'W Budget &amp; Owners'!$F$13*'W Sites'!$G$13,0)</f>
        <v>0</v>
      </c>
      <c r="V363" s="81" t="n">
        <f aca="false">'W Sites'!$G$13*'W Budget &amp; Owners'!$E$13*INDEX('W Assumptions'!$D$27:$F$27,1,D363)*(IF(C363='W Budget &amp; Owners'!$I$13,'W Assumptions'!$D$65,0)+IF(C363=DATE(YEAR('W Sites'!$F$13),MONTH('W Sites'!$F$13),1),1-'W Assumptions'!$D$65,0))+'W Sites'!$G$13*'W Budget &amp; Owners'!$E$13*IF(C363=DATE(2027,9,1),'W Assumptions'!$D$67,IF(C363=DATE(2028,9,1),'W Assumptions'!$D$69,0))</f>
        <v>0</v>
      </c>
      <c r="W363" s="81" t="n">
        <f aca="false">IF(((YEAR(C363)-YEAR('W Sites'!$F$13))*12+MONTH(C363)-MONTH('W Sites'!$F$13))&lt;'W Budget &amp; Owners'!$H$13,'W Budget &amp; Owners'!$E$13/'W Budget &amp; Owners'!$H$13*F363,0)+IF(C363&gt;=DATE(2027,9,1),'W Budget &amp; Owners'!$E$13*'W Assumptions'!$D$67/'W Budget &amp; Owners'!$H$13*F363,0)+IF(C363&gt;=DATE(2028,9,1),'W Budget &amp; Owners'!$E$13*'W Assumptions'!$D$69/'W Budget &amp; Owners'!$H$13*F363,0)</f>
        <v>21000</v>
      </c>
      <c r="X363" s="81" t="n">
        <f aca="false">IF(C363='W Budget &amp; Owners'!$I$13,'W Budget &amp; Owners'!$G$13*'W Sites'!$G$13,0)</f>
        <v>0</v>
      </c>
      <c r="Y363" s="112" t="n">
        <f aca="false">IF(SUM($G$356:$G$365)=0,0,'W Fees &amp; KPI'!$Q$41*G363/SUM($G$356:$G$365))</f>
        <v>4067.6073269479</v>
      </c>
      <c r="Z363" s="119" t="n">
        <f aca="false">IF(SUM($G$356:$G$365)=0,0,SUM('W Fees &amp; KPI'!$J$41,'W Fees &amp; KPI'!$M$41)*G363/SUM($G$356:$G$365))</f>
        <v>5223.75</v>
      </c>
      <c r="AA363" s="117" t="n">
        <f aca="false">T363-U363-Z363-Y363</f>
        <v>60884.4053120086</v>
      </c>
      <c r="AB363" s="119" t="n">
        <f aca="false">IF('W Fees &amp; KPI'!$D$41=0,0,T363-U363-Z363)</f>
        <v>64952.0126389565</v>
      </c>
    </row>
    <row r="364" customFormat="false" ht="21" hidden="false" customHeight="true" outlineLevel="0" collapsed="false">
      <c r="C364" s="144" t="n">
        <f aca="false">47331</f>
        <v>47331</v>
      </c>
      <c r="D364" s="81" t="n">
        <f aca="false">3</f>
        <v>3</v>
      </c>
      <c r="E364" s="81" t="str">
        <f aca="false">'W Sites'!C14</f>
        <v>S09</v>
      </c>
      <c r="F364" s="145" t="n">
        <f aca="false">'W Sites'!$G$14*MAX(0,EOMONTH(C364,0)-MAX(C364,'W Sites'!$F$14)+1)/DAY(EOMONTH(C364,0))</f>
        <v>0</v>
      </c>
      <c r="G364" s="145" t="n">
        <f aca="false">'W Sites'!$G$14*MAX(0,EOMONTH(C364,0)-MAX(C364,'W Sites'!$F$14,'W Assumptions'!$D$58)+1)/DAY(EOMONTH(C364,0))</f>
        <v>0</v>
      </c>
      <c r="H364" s="81" t="n">
        <f aca="false">'W Sites'!$H$14*F364*'W Sites'!$I$14*IF(((YEAR(C364)-YEAR('W Sites'!$F$14))*12+MONTH(C364)-MONTH('W Sites'!$F$14))=0,'W Assumptions'!$D$62,IF(((YEAR(C364)-YEAR('W Sites'!$F$14))*12+MONTH(C364)-MONTH('W Sites'!$F$14))=1,'W Assumptions'!$D$63,1))*INDEX('W Assumptions'!$D$7:$F$7,1,D364)*INDEX('W Assumptions'!$D$32:$F$32,1,D364)*INDEX('W Assumptions'!$D$80:$D$91,MONTH(C364),1)/AVERAGE('W Assumptions'!$D$80:$D$91)</f>
        <v>0</v>
      </c>
      <c r="I364" s="81" t="n">
        <f aca="false">H364*'W Sites'!$J$14/(1+'W Assumptions'!$D$39)*INDEX('W Assumptions'!$D$12:$F$12,1,D364)*INDEX('W Assumptions'!$D$33:$F$33,1,D364)</f>
        <v>0</v>
      </c>
      <c r="J364" s="81" t="n">
        <f aca="false">H364*'W Sites'!$K$14/(1+'W Assumptions'!$D$39)*INDEX('W Assumptions'!$D$12:$F$12,1,D364)*INDEX('W Assumptions'!$D$33:$F$33,1,D364)</f>
        <v>0</v>
      </c>
      <c r="K364" s="81" t="n">
        <f aca="false">'W Sites'!$L$14*F364*IF(((YEAR(C364)-YEAR('W Sites'!$F$14))*12+MONTH(C364)-MONTH('W Sites'!$F$14))=0,'W Assumptions'!$D$62,IF(((YEAR(C364)-YEAR('W Sites'!$F$14))*12+MONTH(C364)-MONTH('W Sites'!$F$14))=1,'W Assumptions'!$D$63,1))*INDEX('W Assumptions'!$D$7:$F$7,1,D364)*INDEX('W Assumptions'!$D$32:$F$32,1,D364)</f>
        <v>0</v>
      </c>
      <c r="L364" s="81" t="n">
        <f aca="false">SUM(I364:K364)</f>
        <v>0</v>
      </c>
      <c r="M364" s="81" t="n">
        <f aca="false">'W Site Costs'!$I$14*F364*INDEX('W Assumptions'!$D$34:$F$34,1,D364)*INDEX('W Assumptions'!$D$22:$F$22,1,D364)</f>
        <v>0</v>
      </c>
      <c r="N364" s="81" t="n">
        <f aca="false">'W Site Costs'!$J$14*F364*INDEX('W Assumptions'!$D$35:$F$35,1,D364)*INDEX('W Assumptions'!$D$22:$F$22,1,D364)</f>
        <v>0</v>
      </c>
      <c r="O364" s="81" t="n">
        <f aca="false">L364*'W Site Costs'!$K$14</f>
        <v>0</v>
      </c>
      <c r="P364" s="81" t="n">
        <f aca="false">SUM('W Site Costs'!$L$14:$Q$14)*F364*INDEX('W Assumptions'!$D$35:$F$35,1,D364)*INDEX('W Assumptions'!$D$22:$F$22,1,D364)</f>
        <v>0</v>
      </c>
      <c r="Q364" s="81" t="n">
        <f aca="false">L364*'W Site Costs'!$R$14*INDEX('W Assumptions'!$D$17:$F$17,1,D364)</f>
        <v>0</v>
      </c>
      <c r="R364" s="112" t="n">
        <f aca="false">L364*'W Sites'!$M$14</f>
        <v>0</v>
      </c>
      <c r="S364" s="81" t="n">
        <f aca="false">SUM(M364:R364)</f>
        <v>0</v>
      </c>
      <c r="T364" s="81" t="n">
        <f aca="false">L364-S364</f>
        <v>0</v>
      </c>
      <c r="U364" s="81" t="n">
        <f aca="false">IF(C364='W Budget &amp; Owners'!$I$14,'W Budget &amp; Owners'!$F$14*'W Sites'!$G$14,0)</f>
        <v>0</v>
      </c>
      <c r="V364" s="81" t="n">
        <f aca="false">'W Sites'!$G$14*'W Budget &amp; Owners'!$E$14*INDEX('W Assumptions'!$D$27:$F$27,1,D364)*(IF(C364='W Budget &amp; Owners'!$I$14,'W Assumptions'!$D$65,0)+IF(C364=DATE(YEAR('W Sites'!$F$14),MONTH('W Sites'!$F$14),1),1-'W Assumptions'!$D$65,0))+'W Sites'!$G$14*'W Budget &amp; Owners'!$E$14*IF(C364=DATE(2027,9,1),'W Assumptions'!$D$67,IF(C364=DATE(2028,9,1),'W Assumptions'!$D$69,0))</f>
        <v>0</v>
      </c>
      <c r="W364" s="81" t="n">
        <f aca="false">IF(((YEAR(C364)-YEAR('W Sites'!$F$14))*12+MONTH(C364)-MONTH('W Sites'!$F$14))&lt;'W Budget &amp; Owners'!$H$14,'W Budget &amp; Owners'!$E$14/'W Budget &amp; Owners'!$H$14*F364,0)+IF(C364&gt;=DATE(2027,9,1),'W Budget &amp; Owners'!$E$14*'W Assumptions'!$D$67/'W Budget &amp; Owners'!$H$14*F364,0)+IF(C364&gt;=DATE(2028,9,1),'W Budget &amp; Owners'!$E$14*'W Assumptions'!$D$69/'W Budget &amp; Owners'!$H$14*F364,0)</f>
        <v>0</v>
      </c>
      <c r="X364" s="81" t="n">
        <f aca="false">IF(C364='W Budget &amp; Owners'!$I$14,'W Budget &amp; Owners'!$G$14*'W Sites'!$G$14,0)</f>
        <v>0</v>
      </c>
      <c r="Y364" s="112" t="n">
        <f aca="false">IF(SUM($G$356:$G$365)=0,0,'W Fees &amp; KPI'!$Q$41*G364/SUM($G$356:$G$365))</f>
        <v>0</v>
      </c>
      <c r="Z364" s="119" t="n">
        <f aca="false">IF(SUM($G$356:$G$365)=0,0,SUM('W Fees &amp; KPI'!$J$41,'W Fees &amp; KPI'!$M$41)*G364/SUM($G$356:$G$365))</f>
        <v>0</v>
      </c>
      <c r="AA364" s="117" t="n">
        <f aca="false">T364-U364-Z364-Y364</f>
        <v>0</v>
      </c>
      <c r="AB364" s="119" t="n">
        <f aca="false">IF('W Fees &amp; KPI'!$D$41=0,0,T364-U364-Z364)</f>
        <v>0</v>
      </c>
    </row>
    <row r="365" customFormat="false" ht="21" hidden="false" customHeight="true" outlineLevel="0" collapsed="false">
      <c r="C365" s="144" t="n">
        <f aca="false">47331</f>
        <v>47331</v>
      </c>
      <c r="D365" s="81" t="n">
        <f aca="false">3</f>
        <v>3</v>
      </c>
      <c r="E365" s="81" t="str">
        <f aca="false">'W Sites'!C15</f>
        <v>S10</v>
      </c>
      <c r="F365" s="145" t="n">
        <f aca="false">'W Sites'!$G$15*MAX(0,EOMONTH(C365,0)-MAX(C365,'W Sites'!$F$15)+1)/DAY(EOMONTH(C365,0))</f>
        <v>0</v>
      </c>
      <c r="G365" s="145" t="n">
        <f aca="false">'W Sites'!$G$15*MAX(0,EOMONTH(C365,0)-MAX(C365,'W Sites'!$F$15,'W Assumptions'!$D$58)+1)/DAY(EOMONTH(C365,0))</f>
        <v>0</v>
      </c>
      <c r="H365" s="81" t="n">
        <f aca="false">'W Sites'!$H$15*F365*'W Sites'!$I$15*IF(((YEAR(C365)-YEAR('W Sites'!$F$15))*12+MONTH(C365)-MONTH('W Sites'!$F$15))=0,'W Assumptions'!$D$62,IF(((YEAR(C365)-YEAR('W Sites'!$F$15))*12+MONTH(C365)-MONTH('W Sites'!$F$15))=1,'W Assumptions'!$D$63,1))*INDEX('W Assumptions'!$D$7:$F$7,1,D365)*INDEX('W Assumptions'!$D$32:$F$32,1,D365)*INDEX('W Assumptions'!$D$80:$D$91,MONTH(C365),1)/AVERAGE('W Assumptions'!$D$80:$D$91)</f>
        <v>0</v>
      </c>
      <c r="I365" s="81" t="n">
        <f aca="false">H365*'W Sites'!$J$15/(1+'W Assumptions'!$D$39)*INDEX('W Assumptions'!$D$12:$F$12,1,D365)*INDEX('W Assumptions'!$D$33:$F$33,1,D365)</f>
        <v>0</v>
      </c>
      <c r="J365" s="81" t="n">
        <f aca="false">H365*'W Sites'!$K$15/(1+'W Assumptions'!$D$39)*INDEX('W Assumptions'!$D$12:$F$12,1,D365)*INDEX('W Assumptions'!$D$33:$F$33,1,D365)</f>
        <v>0</v>
      </c>
      <c r="K365" s="81" t="n">
        <f aca="false">'W Sites'!$L$15*F365*IF(((YEAR(C365)-YEAR('W Sites'!$F$15))*12+MONTH(C365)-MONTH('W Sites'!$F$15))=0,'W Assumptions'!$D$62,IF(((YEAR(C365)-YEAR('W Sites'!$F$15))*12+MONTH(C365)-MONTH('W Sites'!$F$15))=1,'W Assumptions'!$D$63,1))*INDEX('W Assumptions'!$D$7:$F$7,1,D365)*INDEX('W Assumptions'!$D$32:$F$32,1,D365)</f>
        <v>0</v>
      </c>
      <c r="L365" s="81" t="n">
        <f aca="false">SUM(I365:K365)</f>
        <v>0</v>
      </c>
      <c r="M365" s="81" t="n">
        <f aca="false">'W Site Costs'!$I$15*F365*INDEX('W Assumptions'!$D$34:$F$34,1,D365)*INDEX('W Assumptions'!$D$22:$F$22,1,D365)</f>
        <v>0</v>
      </c>
      <c r="N365" s="81" t="n">
        <f aca="false">'W Site Costs'!$J$15*F365*INDEX('W Assumptions'!$D$35:$F$35,1,D365)*INDEX('W Assumptions'!$D$22:$F$22,1,D365)</f>
        <v>0</v>
      </c>
      <c r="O365" s="81" t="n">
        <f aca="false">L365*'W Site Costs'!$K$15</f>
        <v>0</v>
      </c>
      <c r="P365" s="81" t="n">
        <f aca="false">SUM('W Site Costs'!$L$15:$Q$15)*F365*INDEX('W Assumptions'!$D$35:$F$35,1,D365)*INDEX('W Assumptions'!$D$22:$F$22,1,D365)</f>
        <v>0</v>
      </c>
      <c r="Q365" s="81" t="n">
        <f aca="false">L365*'W Site Costs'!$R$15*INDEX('W Assumptions'!$D$17:$F$17,1,D365)</f>
        <v>0</v>
      </c>
      <c r="R365" s="112" t="n">
        <f aca="false">L365*'W Sites'!$M$15</f>
        <v>0</v>
      </c>
      <c r="S365" s="81" t="n">
        <f aca="false">SUM(M365:R365)</f>
        <v>0</v>
      </c>
      <c r="T365" s="81" t="n">
        <f aca="false">L365-S365</f>
        <v>0</v>
      </c>
      <c r="U365" s="81" t="n">
        <f aca="false">IF(C365='W Budget &amp; Owners'!$I$15,'W Budget &amp; Owners'!$F$15*'W Sites'!$G$15,0)</f>
        <v>0</v>
      </c>
      <c r="V365" s="81" t="n">
        <f aca="false">'W Sites'!$G$15*'W Budget &amp; Owners'!$E$15*INDEX('W Assumptions'!$D$27:$F$27,1,D365)*(IF(C365='W Budget &amp; Owners'!$I$15,'W Assumptions'!$D$65,0)+IF(C365=DATE(YEAR('W Sites'!$F$15),MONTH('W Sites'!$F$15),1),1-'W Assumptions'!$D$65,0))+'W Sites'!$G$15*'W Budget &amp; Owners'!$E$15*IF(C365=DATE(2027,9,1),'W Assumptions'!$D$67,IF(C365=DATE(2028,9,1),'W Assumptions'!$D$69,0))</f>
        <v>0</v>
      </c>
      <c r="W365" s="81" t="n">
        <f aca="false">IF(((YEAR(C365)-YEAR('W Sites'!$F$15))*12+MONTH(C365)-MONTH('W Sites'!$F$15))&lt;'W Budget &amp; Owners'!$H$15,'W Budget &amp; Owners'!$E$15/'W Budget &amp; Owners'!$H$15*F365,0)+IF(C365&gt;=DATE(2027,9,1),'W Budget &amp; Owners'!$E$15*'W Assumptions'!$D$67/'W Budget &amp; Owners'!$H$15*F365,0)+IF(C365&gt;=DATE(2028,9,1),'W Budget &amp; Owners'!$E$15*'W Assumptions'!$D$69/'W Budget &amp; Owners'!$H$15*F365,0)</f>
        <v>0</v>
      </c>
      <c r="X365" s="81" t="n">
        <f aca="false">IF(C365='W Budget &amp; Owners'!$I$15,'W Budget &amp; Owners'!$G$15*'W Sites'!$G$15,0)</f>
        <v>0</v>
      </c>
      <c r="Y365" s="112" t="n">
        <f aca="false">IF(SUM($G$356:$G$365)=0,0,'W Fees &amp; KPI'!$Q$41*G365/SUM($G$356:$G$365))</f>
        <v>0</v>
      </c>
      <c r="Z365" s="119" t="n">
        <f aca="false">IF(SUM($G$356:$G$365)=0,0,SUM('W Fees &amp; KPI'!$J$41,'W Fees &amp; KPI'!$M$41)*G365/SUM($G$356:$G$365))</f>
        <v>0</v>
      </c>
      <c r="AA365" s="117" t="n">
        <f aca="false">T365-U365-Z365-Y365</f>
        <v>0</v>
      </c>
      <c r="AB365" s="119" t="n">
        <f aca="false">IF('W Fees &amp; KPI'!$D$41=0,0,T365-U365-Z365)</f>
        <v>0</v>
      </c>
    </row>
    <row r="366" customFormat="false" ht="21" hidden="false" customHeight="true" outlineLevel="0" collapsed="false">
      <c r="C366" s="74"/>
      <c r="D366" s="79"/>
      <c r="E366" s="79"/>
      <c r="F366" s="79"/>
      <c r="G366" s="79"/>
      <c r="H366" s="79"/>
      <c r="I366" s="79"/>
      <c r="J366" s="79"/>
      <c r="K366" s="79"/>
      <c r="L366" s="79"/>
      <c r="M366" s="79"/>
      <c r="N366" s="79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</row>
    <row r="367" customFormat="false" ht="21" hidden="false" customHeight="true" outlineLevel="0" collapsed="false">
      <c r="C367" s="74"/>
      <c r="D367" s="79"/>
      <c r="E367" s="79"/>
      <c r="F367" s="79"/>
      <c r="G367" s="79"/>
      <c r="H367" s="79"/>
      <c r="I367" s="79"/>
      <c r="J367" s="79"/>
      <c r="K367" s="79"/>
      <c r="L367" s="79"/>
      <c r="M367" s="79"/>
      <c r="N367" s="79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</row>
    <row r="368" customFormat="false" ht="21" hidden="false" customHeight="true" outlineLevel="0" collapsed="false">
      <c r="C368" s="74"/>
      <c r="D368" s="79"/>
      <c r="E368" s="79"/>
      <c r="F368" s="79"/>
      <c r="G368" s="79"/>
      <c r="H368" s="79"/>
      <c r="I368" s="79"/>
      <c r="J368" s="79"/>
      <c r="K368" s="79"/>
      <c r="L368" s="79"/>
      <c r="M368" s="79"/>
      <c r="N368" s="79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</row>
    <row r="369" customFormat="false" ht="21" hidden="false" customHeight="true" outlineLevel="0" collapsed="false">
      <c r="C369" s="74"/>
      <c r="D369" s="79"/>
      <c r="E369" s="79"/>
      <c r="F369" s="79"/>
      <c r="G369" s="79"/>
      <c r="H369" s="79"/>
      <c r="I369" s="79"/>
      <c r="J369" s="79"/>
      <c r="K369" s="79"/>
      <c r="L369" s="79"/>
      <c r="M369" s="79"/>
      <c r="N369" s="79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</row>
    <row r="370" customFormat="false" ht="21" hidden="false" customHeight="true" outlineLevel="0" collapsed="false">
      <c r="C370" s="74"/>
      <c r="D370" s="79"/>
      <c r="E370" s="79"/>
      <c r="F370" s="79"/>
      <c r="G370" s="79"/>
      <c r="H370" s="79"/>
      <c r="I370" s="79"/>
      <c r="J370" s="79"/>
      <c r="K370" s="79"/>
      <c r="L370" s="79"/>
      <c r="M370" s="79"/>
      <c r="N370" s="79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8C1C6"/>
    <pageSetUpPr fitToPage="false"/>
  </sheetPr>
  <dimension ref="C1:R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2.5"/>
    <col collapsed="false" customWidth="true" hidden="false" outlineLevel="0" max="5" min="3" style="0" width="20"/>
    <col collapsed="false" customWidth="true" hidden="false" outlineLevel="0" max="15" min="6" style="0" width="14"/>
    <col collapsed="false" customWidth="true" hidden="false" outlineLevel="0" max="16" min="16" style="0" width="58"/>
    <col collapsed="false" customWidth="true" hidden="false" outlineLevel="0" max="18" min="17" style="0" width="16"/>
  </cols>
  <sheetData>
    <row r="1" customFormat="false" ht="21" hidden="false" customHeight="true" outlineLevel="0" collapsed="false"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</row>
    <row r="2" customFormat="false" ht="30" hidden="false" customHeight="true" outlineLevel="0" collapsed="false">
      <c r="C2" s="75" t="s">
        <v>1034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customFormat="false" ht="21" hidden="false" customHeight="true" outlineLevel="0" collapsed="false"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</row>
    <row r="4" customFormat="false" ht="21" hidden="false" customHeight="true" outlineLevel="0" collapsed="false">
      <c r="C4" s="74" t="s">
        <v>580</v>
      </c>
      <c r="D4" s="77" t="str">
        <f aca="false">'W Assumptions'!D3</f>
        <v>Base</v>
      </c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</row>
    <row r="5" customFormat="false" ht="37.5" hidden="false" customHeight="true" outlineLevel="0" collapsed="false">
      <c r="C5" s="78" t="s">
        <v>1035</v>
      </c>
      <c r="D5" s="78" t="s">
        <v>1036</v>
      </c>
      <c r="E5" s="78" t="s">
        <v>1037</v>
      </c>
      <c r="F5" s="78" t="s">
        <v>1038</v>
      </c>
      <c r="G5" s="78" t="s">
        <v>1039</v>
      </c>
      <c r="H5" s="78" t="s">
        <v>1040</v>
      </c>
      <c r="I5" s="78" t="s">
        <v>1041</v>
      </c>
      <c r="J5" s="78" t="s">
        <v>1042</v>
      </c>
      <c r="K5" s="78" t="s">
        <v>1043</v>
      </c>
      <c r="L5" s="78" t="s">
        <v>1044</v>
      </c>
      <c r="M5" s="78" t="s">
        <v>865</v>
      </c>
      <c r="N5" s="78" t="s">
        <v>1045</v>
      </c>
      <c r="O5" s="78" t="s">
        <v>1046</v>
      </c>
      <c r="P5" s="78" t="s">
        <v>1047</v>
      </c>
      <c r="Q5" s="78" t="s">
        <v>1048</v>
      </c>
      <c r="R5" s="78" t="s">
        <v>1049</v>
      </c>
    </row>
    <row r="6" customFormat="false" ht="21" hidden="false" customHeight="true" outlineLevel="0" collapsed="false">
      <c r="C6" s="74" t="s">
        <v>1050</v>
      </c>
      <c r="D6" s="79" t="s">
        <v>1051</v>
      </c>
      <c r="E6" s="79" t="s">
        <v>1052</v>
      </c>
      <c r="F6" s="146" t="n">
        <f aca="false">D29*$F$38</f>
        <v>2.1</v>
      </c>
      <c r="G6" s="146" t="n">
        <f aca="false">E29*$G$38</f>
        <v>5.6</v>
      </c>
      <c r="H6" s="146" t="n">
        <f aca="false">F29*$H$38</f>
        <v>11.25</v>
      </c>
      <c r="I6" s="135" t="n">
        <f aca="false">G29</f>
        <v>140000</v>
      </c>
      <c r="J6" s="135" t="n">
        <f aca="false">H29</f>
        <v>170000</v>
      </c>
      <c r="K6" s="135" t="n">
        <f aca="false">I29</f>
        <v>190000</v>
      </c>
      <c r="L6" s="147" t="n">
        <f aca="false">J29</f>
        <v>0.42</v>
      </c>
      <c r="M6" s="90" t="n">
        <v>0</v>
      </c>
      <c r="N6" s="90" t="n">
        <v>0.3</v>
      </c>
      <c r="O6" s="90" t="n">
        <v>1</v>
      </c>
      <c r="P6" s="79" t="s">
        <v>1053</v>
      </c>
      <c r="Q6" s="148" t="n">
        <f aca="false">K29</f>
        <v>0.4</v>
      </c>
      <c r="R6" s="148" t="n">
        <f aca="false">L29</f>
        <v>0.38</v>
      </c>
    </row>
    <row r="7" customFormat="false" ht="21" hidden="false" customHeight="true" outlineLevel="0" collapsed="false">
      <c r="C7" s="74" t="s">
        <v>1050</v>
      </c>
      <c r="D7" s="79" t="s">
        <v>1054</v>
      </c>
      <c r="E7" s="79" t="s">
        <v>1055</v>
      </c>
      <c r="F7" s="146" t="n">
        <f aca="false">D30*$F$38</f>
        <v>2.8</v>
      </c>
      <c r="G7" s="146" t="n">
        <f aca="false">E30*$G$38</f>
        <v>7.2</v>
      </c>
      <c r="H7" s="146" t="n">
        <f aca="false">F30*$H$38</f>
        <v>13.5</v>
      </c>
      <c r="I7" s="135" t="n">
        <f aca="false">G30</f>
        <v>65000</v>
      </c>
      <c r="J7" s="135" t="n">
        <f aca="false">H30</f>
        <v>75000</v>
      </c>
      <c r="K7" s="135" t="n">
        <f aca="false">I30</f>
        <v>85000</v>
      </c>
      <c r="L7" s="147" t="n">
        <f aca="false">J30</f>
        <v>0.55</v>
      </c>
      <c r="M7" s="90" t="n">
        <v>0</v>
      </c>
      <c r="N7" s="90" t="n">
        <v>0.3</v>
      </c>
      <c r="O7" s="90" t="n">
        <v>0.8</v>
      </c>
      <c r="P7" s="79" t="s">
        <v>1053</v>
      </c>
      <c r="Q7" s="148" t="n">
        <f aca="false">K30</f>
        <v>0.52</v>
      </c>
      <c r="R7" s="148" t="n">
        <f aca="false">L30</f>
        <v>0.5</v>
      </c>
    </row>
    <row r="8" customFormat="false" ht="21" hidden="false" customHeight="true" outlineLevel="0" collapsed="false">
      <c r="C8" s="74" t="s">
        <v>1050</v>
      </c>
      <c r="D8" s="79" t="s">
        <v>940</v>
      </c>
      <c r="E8" s="79" t="s">
        <v>1056</v>
      </c>
      <c r="F8" s="146" t="n">
        <f aca="false">D31*$F$38</f>
        <v>31.5</v>
      </c>
      <c r="G8" s="146" t="n">
        <f aca="false">E31*$G$38</f>
        <v>64</v>
      </c>
      <c r="H8" s="146" t="n">
        <f aca="false">F31*$H$38</f>
        <v>117</v>
      </c>
      <c r="I8" s="135" t="n">
        <f aca="false">G31</f>
        <v>4000</v>
      </c>
      <c r="J8" s="135" t="n">
        <f aca="false">H31</f>
        <v>5000</v>
      </c>
      <c r="K8" s="135" t="n">
        <f aca="false">I31</f>
        <v>5500</v>
      </c>
      <c r="L8" s="147" t="n">
        <f aca="false">J31</f>
        <v>0.45</v>
      </c>
      <c r="M8" s="90" t="n">
        <v>0</v>
      </c>
      <c r="N8" s="90" t="n">
        <v>0.7</v>
      </c>
      <c r="O8" s="90" t="n">
        <v>1</v>
      </c>
      <c r="P8" s="79" t="s">
        <v>1053</v>
      </c>
      <c r="Q8" s="148" t="n">
        <f aca="false">K31</f>
        <v>0.42</v>
      </c>
      <c r="R8" s="148" t="n">
        <f aca="false">L31</f>
        <v>0.4</v>
      </c>
    </row>
    <row r="9" customFormat="false" ht="21" hidden="false" customHeight="true" outlineLevel="0" collapsed="false">
      <c r="C9" s="74" t="s">
        <v>1050</v>
      </c>
      <c r="D9" s="79" t="s">
        <v>1057</v>
      </c>
      <c r="E9" s="79" t="s">
        <v>1058</v>
      </c>
      <c r="F9" s="146" t="n">
        <f aca="false">D32*$F$38</f>
        <v>0.35</v>
      </c>
      <c r="G9" s="146" t="n">
        <f aca="false">E32*$G$38</f>
        <v>1.2</v>
      </c>
      <c r="H9" s="146" t="n">
        <f aca="false">F32*$H$38</f>
        <v>2.25</v>
      </c>
      <c r="I9" s="135" t="n">
        <f aca="false">G32</f>
        <v>250000</v>
      </c>
      <c r="J9" s="135" t="n">
        <f aca="false">H32</f>
        <v>300000</v>
      </c>
      <c r="K9" s="135" t="n">
        <f aca="false">I32</f>
        <v>330000</v>
      </c>
      <c r="L9" s="147" t="n">
        <f aca="false">J32</f>
        <v>0.65</v>
      </c>
      <c r="M9" s="90" t="n">
        <v>0</v>
      </c>
      <c r="N9" s="90" t="n">
        <v>0.3</v>
      </c>
      <c r="O9" s="90" t="n">
        <v>0.35</v>
      </c>
      <c r="P9" s="79" t="s">
        <v>1053</v>
      </c>
      <c r="Q9" s="148" t="n">
        <f aca="false">K32</f>
        <v>0.6</v>
      </c>
      <c r="R9" s="148" t="n">
        <f aca="false">L32</f>
        <v>0.58</v>
      </c>
    </row>
    <row r="10" customFormat="false" ht="21" hidden="false" customHeight="true" outlineLevel="0" collapsed="false">
      <c r="C10" s="74" t="s">
        <v>1050</v>
      </c>
      <c r="D10" s="79" t="s">
        <v>1059</v>
      </c>
      <c r="E10" s="79" t="s">
        <v>1060</v>
      </c>
      <c r="F10" s="146" t="n">
        <f aca="false">D33*$F$38</f>
        <v>140</v>
      </c>
      <c r="G10" s="146" t="n">
        <f aca="false">E33*$G$38</f>
        <v>600</v>
      </c>
      <c r="H10" s="146" t="n">
        <f aca="false">F33*$H$38</f>
        <v>1800</v>
      </c>
      <c r="I10" s="135" t="n">
        <f aca="false">G33</f>
        <v>350</v>
      </c>
      <c r="J10" s="135" t="n">
        <f aca="false">H33</f>
        <v>350</v>
      </c>
      <c r="K10" s="135" t="n">
        <f aca="false">I33</f>
        <v>375</v>
      </c>
      <c r="L10" s="147" t="n">
        <f aca="false">J33</f>
        <v>0.2</v>
      </c>
      <c r="M10" s="90" t="n">
        <v>0</v>
      </c>
      <c r="N10" s="90" t="n">
        <v>1</v>
      </c>
      <c r="O10" s="90" t="n">
        <v>0.95</v>
      </c>
      <c r="P10" s="79" t="s">
        <v>1053</v>
      </c>
      <c r="Q10" s="148" t="n">
        <f aca="false">K33</f>
        <v>0.18</v>
      </c>
      <c r="R10" s="148" t="n">
        <f aca="false">L33</f>
        <v>0.16</v>
      </c>
    </row>
    <row r="11" customFormat="false" ht="21" hidden="false" customHeight="true" outlineLevel="0" collapsed="false">
      <c r="C11" s="74" t="s">
        <v>1050</v>
      </c>
      <c r="D11" s="79" t="s">
        <v>1061</v>
      </c>
      <c r="E11" s="79" t="s">
        <v>1062</v>
      </c>
      <c r="F11" s="146" t="n">
        <f aca="false">D34*$F$38</f>
        <v>420</v>
      </c>
      <c r="G11" s="146" t="n">
        <f aca="false">E34*$G$38</f>
        <v>1600</v>
      </c>
      <c r="H11" s="146" t="n">
        <f aca="false">F34*$H$38</f>
        <v>4050</v>
      </c>
      <c r="I11" s="135" t="n">
        <f aca="false">G34</f>
        <v>240</v>
      </c>
      <c r="J11" s="135" t="n">
        <f aca="false">H34</f>
        <v>250</v>
      </c>
      <c r="K11" s="135" t="n">
        <f aca="false">I34</f>
        <v>260</v>
      </c>
      <c r="L11" s="147" t="n">
        <f aca="false">J34</f>
        <v>0.55</v>
      </c>
      <c r="M11" s="90" t="n">
        <v>0</v>
      </c>
      <c r="N11" s="90" t="n">
        <v>1</v>
      </c>
      <c r="O11" s="90" t="n">
        <v>0.95</v>
      </c>
      <c r="P11" s="79" t="s">
        <v>1053</v>
      </c>
      <c r="Q11" s="148" t="n">
        <f aca="false">K34</f>
        <v>0.5</v>
      </c>
      <c r="R11" s="148" t="n">
        <f aca="false">L34</f>
        <v>0.48</v>
      </c>
    </row>
    <row r="12" customFormat="false" ht="21" hidden="false" customHeight="true" outlineLevel="0" collapsed="false">
      <c r="C12" s="74" t="s">
        <v>1050</v>
      </c>
      <c r="D12" s="79" t="s">
        <v>1063</v>
      </c>
      <c r="E12" s="79" t="s">
        <v>1064</v>
      </c>
      <c r="F12" s="146" t="n">
        <f aca="false">D35*$F$38</f>
        <v>0.35</v>
      </c>
      <c r="G12" s="146" t="n">
        <f aca="false">E35*$G$38</f>
        <v>0.4</v>
      </c>
      <c r="H12" s="146" t="n">
        <f aca="false">F35*$H$38</f>
        <v>0.45</v>
      </c>
      <c r="I12" s="135" t="n">
        <f aca="false">G35</f>
        <v>100000</v>
      </c>
      <c r="J12" s="135" t="n">
        <f aca="false">H35</f>
        <v>300000</v>
      </c>
      <c r="K12" s="135" t="n">
        <f aca="false">I35</f>
        <v>800000</v>
      </c>
      <c r="L12" s="147" t="n">
        <f aca="false">J35</f>
        <v>0.15</v>
      </c>
      <c r="M12" s="90" t="n">
        <v>0</v>
      </c>
      <c r="N12" s="90" t="n">
        <v>0.3</v>
      </c>
      <c r="O12" s="90" t="n">
        <v>1</v>
      </c>
      <c r="P12" s="79" t="s">
        <v>1053</v>
      </c>
      <c r="Q12" s="148" t="n">
        <f aca="false">K35</f>
        <v>0.12</v>
      </c>
      <c r="R12" s="148" t="n">
        <f aca="false">L35</f>
        <v>0.1</v>
      </c>
    </row>
    <row r="13" customFormat="false" ht="21" hidden="false" customHeight="true" outlineLevel="0" collapsed="false">
      <c r="C13" s="74" t="s">
        <v>1065</v>
      </c>
      <c r="D13" s="79" t="s">
        <v>1051</v>
      </c>
      <c r="E13" s="79" t="s">
        <v>1052</v>
      </c>
      <c r="F13" s="146" t="n">
        <f aca="false">D29*(1-$F$38)</f>
        <v>3.9</v>
      </c>
      <c r="G13" s="146" t="n">
        <f aca="false">E29*(1-$G$38)</f>
        <v>8.4</v>
      </c>
      <c r="H13" s="146" t="n">
        <f aca="false">F29*(1-$H$38)</f>
        <v>13.75</v>
      </c>
      <c r="I13" s="135" t="n">
        <f aca="false">G29</f>
        <v>140000</v>
      </c>
      <c r="J13" s="135" t="n">
        <f aca="false">H29</f>
        <v>170000</v>
      </c>
      <c r="K13" s="135" t="n">
        <f aca="false">I29</f>
        <v>190000</v>
      </c>
      <c r="L13" s="147" t="n">
        <f aca="false">J29</f>
        <v>0.42</v>
      </c>
      <c r="M13" s="90" t="n">
        <v>0</v>
      </c>
      <c r="N13" s="90" t="n">
        <v>0.3</v>
      </c>
      <c r="O13" s="90" t="n">
        <v>1</v>
      </c>
      <c r="P13" s="79" t="s">
        <v>1053</v>
      </c>
      <c r="Q13" s="148" t="n">
        <f aca="false">K29</f>
        <v>0.4</v>
      </c>
      <c r="R13" s="148" t="n">
        <f aca="false">L29</f>
        <v>0.38</v>
      </c>
    </row>
    <row r="14" customFormat="false" ht="21" hidden="false" customHeight="true" outlineLevel="0" collapsed="false">
      <c r="C14" s="74" t="s">
        <v>1065</v>
      </c>
      <c r="D14" s="79" t="s">
        <v>1054</v>
      </c>
      <c r="E14" s="79" t="s">
        <v>1055</v>
      </c>
      <c r="F14" s="146" t="n">
        <f aca="false">D30*(1-$F$38)</f>
        <v>5.2</v>
      </c>
      <c r="G14" s="146" t="n">
        <f aca="false">E30*(1-$G$38)</f>
        <v>10.8</v>
      </c>
      <c r="H14" s="146" t="n">
        <f aca="false">F30*(1-$H$38)</f>
        <v>16.5</v>
      </c>
      <c r="I14" s="135" t="n">
        <f aca="false">G30</f>
        <v>65000</v>
      </c>
      <c r="J14" s="135" t="n">
        <f aca="false">H30</f>
        <v>75000</v>
      </c>
      <c r="K14" s="135" t="n">
        <f aca="false">I30</f>
        <v>85000</v>
      </c>
      <c r="L14" s="147" t="n">
        <f aca="false">J30</f>
        <v>0.55</v>
      </c>
      <c r="M14" s="90" t="n">
        <v>0</v>
      </c>
      <c r="N14" s="90" t="n">
        <v>0.3</v>
      </c>
      <c r="O14" s="90" t="n">
        <v>0.8</v>
      </c>
      <c r="P14" s="79" t="s">
        <v>1053</v>
      </c>
      <c r="Q14" s="148" t="n">
        <f aca="false">K30</f>
        <v>0.52</v>
      </c>
      <c r="R14" s="148" t="n">
        <f aca="false">L30</f>
        <v>0.5</v>
      </c>
    </row>
    <row r="15" customFormat="false" ht="21" hidden="false" customHeight="true" outlineLevel="0" collapsed="false">
      <c r="C15" s="74" t="s">
        <v>1065</v>
      </c>
      <c r="D15" s="79" t="s">
        <v>940</v>
      </c>
      <c r="E15" s="79" t="s">
        <v>1056</v>
      </c>
      <c r="F15" s="146" t="n">
        <f aca="false">D31*(1-$F$38)</f>
        <v>58.5</v>
      </c>
      <c r="G15" s="146" t="n">
        <f aca="false">E31*(1-$G$38)</f>
        <v>96</v>
      </c>
      <c r="H15" s="146" t="n">
        <f aca="false">F31*(1-$H$38)</f>
        <v>143</v>
      </c>
      <c r="I15" s="135" t="n">
        <f aca="false">G31</f>
        <v>4000</v>
      </c>
      <c r="J15" s="135" t="n">
        <f aca="false">H31</f>
        <v>5000</v>
      </c>
      <c r="K15" s="135" t="n">
        <f aca="false">I31</f>
        <v>5500</v>
      </c>
      <c r="L15" s="147" t="n">
        <f aca="false">J31</f>
        <v>0.45</v>
      </c>
      <c r="M15" s="90" t="n">
        <v>0</v>
      </c>
      <c r="N15" s="90" t="n">
        <v>0.7</v>
      </c>
      <c r="O15" s="90" t="n">
        <v>1</v>
      </c>
      <c r="P15" s="79" t="s">
        <v>1053</v>
      </c>
      <c r="Q15" s="148" t="n">
        <f aca="false">K31</f>
        <v>0.42</v>
      </c>
      <c r="R15" s="148" t="n">
        <f aca="false">L31</f>
        <v>0.4</v>
      </c>
    </row>
    <row r="16" customFormat="false" ht="21" hidden="false" customHeight="true" outlineLevel="0" collapsed="false">
      <c r="C16" s="74" t="s">
        <v>1065</v>
      </c>
      <c r="D16" s="79" t="s">
        <v>1057</v>
      </c>
      <c r="E16" s="79" t="s">
        <v>1058</v>
      </c>
      <c r="F16" s="146" t="n">
        <f aca="false">D32*(1-$F$38)</f>
        <v>0.65</v>
      </c>
      <c r="G16" s="146" t="n">
        <f aca="false">E32*(1-$G$38)</f>
        <v>1.8</v>
      </c>
      <c r="H16" s="146" t="n">
        <f aca="false">F32*(1-$H$38)</f>
        <v>2.75</v>
      </c>
      <c r="I16" s="135" t="n">
        <f aca="false">G32</f>
        <v>250000</v>
      </c>
      <c r="J16" s="135" t="n">
        <f aca="false">H32</f>
        <v>300000</v>
      </c>
      <c r="K16" s="135" t="n">
        <f aca="false">I32</f>
        <v>330000</v>
      </c>
      <c r="L16" s="147" t="n">
        <f aca="false">J32</f>
        <v>0.65</v>
      </c>
      <c r="M16" s="90" t="n">
        <v>0</v>
      </c>
      <c r="N16" s="90" t="n">
        <v>0.3</v>
      </c>
      <c r="O16" s="90" t="n">
        <v>0.35</v>
      </c>
      <c r="P16" s="79" t="s">
        <v>1053</v>
      </c>
      <c r="Q16" s="148" t="n">
        <f aca="false">K32</f>
        <v>0.6</v>
      </c>
      <c r="R16" s="148" t="n">
        <f aca="false">L32</f>
        <v>0.58</v>
      </c>
    </row>
    <row r="17" customFormat="false" ht="21" hidden="false" customHeight="true" outlineLevel="0" collapsed="false">
      <c r="C17" s="74" t="s">
        <v>1065</v>
      </c>
      <c r="D17" s="79" t="s">
        <v>1059</v>
      </c>
      <c r="E17" s="79" t="s">
        <v>1060</v>
      </c>
      <c r="F17" s="146" t="n">
        <f aca="false">D33*(1-$F$38)</f>
        <v>260</v>
      </c>
      <c r="G17" s="146" t="n">
        <f aca="false">E33*(1-$G$38)</f>
        <v>900</v>
      </c>
      <c r="H17" s="146" t="n">
        <f aca="false">F33*(1-$H$38)</f>
        <v>2200</v>
      </c>
      <c r="I17" s="135" t="n">
        <f aca="false">G33</f>
        <v>350</v>
      </c>
      <c r="J17" s="135" t="n">
        <f aca="false">H33</f>
        <v>350</v>
      </c>
      <c r="K17" s="135" t="n">
        <f aca="false">I33</f>
        <v>375</v>
      </c>
      <c r="L17" s="147" t="n">
        <f aca="false">J33</f>
        <v>0.2</v>
      </c>
      <c r="M17" s="90" t="n">
        <v>0</v>
      </c>
      <c r="N17" s="90" t="n">
        <v>1</v>
      </c>
      <c r="O17" s="90" t="n">
        <v>0.95</v>
      </c>
      <c r="P17" s="79" t="s">
        <v>1053</v>
      </c>
      <c r="Q17" s="148" t="n">
        <f aca="false">K33</f>
        <v>0.18</v>
      </c>
      <c r="R17" s="148" t="n">
        <f aca="false">L33</f>
        <v>0.16</v>
      </c>
    </row>
    <row r="18" customFormat="false" ht="21" hidden="false" customHeight="true" outlineLevel="0" collapsed="false">
      <c r="C18" s="74" t="s">
        <v>1065</v>
      </c>
      <c r="D18" s="79" t="s">
        <v>1061</v>
      </c>
      <c r="E18" s="79" t="s">
        <v>1066</v>
      </c>
      <c r="F18" s="146" t="n">
        <f aca="false">D34*(1-$F$38)</f>
        <v>780</v>
      </c>
      <c r="G18" s="146" t="n">
        <f aca="false">E34*(1-$G$38)</f>
        <v>2400</v>
      </c>
      <c r="H18" s="146" t="n">
        <f aca="false">F34*(1-$H$38)</f>
        <v>4950</v>
      </c>
      <c r="I18" s="135" t="n">
        <f aca="false">G34</f>
        <v>240</v>
      </c>
      <c r="J18" s="135" t="n">
        <f aca="false">H34</f>
        <v>250</v>
      </c>
      <c r="K18" s="135" t="n">
        <f aca="false">I34</f>
        <v>260</v>
      </c>
      <c r="L18" s="147" t="n">
        <f aca="false">J34</f>
        <v>0.55</v>
      </c>
      <c r="M18" s="90" t="n">
        <v>0</v>
      </c>
      <c r="N18" s="90" t="n">
        <v>1</v>
      </c>
      <c r="O18" s="90" t="n">
        <v>0.95</v>
      </c>
      <c r="P18" s="79" t="s">
        <v>1053</v>
      </c>
      <c r="Q18" s="148" t="n">
        <f aca="false">K34</f>
        <v>0.5</v>
      </c>
      <c r="R18" s="148" t="n">
        <f aca="false">L34</f>
        <v>0.48</v>
      </c>
    </row>
    <row r="19" customFormat="false" ht="21" hidden="false" customHeight="true" outlineLevel="0" collapsed="false">
      <c r="C19" s="74" t="s">
        <v>1065</v>
      </c>
      <c r="D19" s="79" t="s">
        <v>1063</v>
      </c>
      <c r="E19" s="79" t="s">
        <v>1064</v>
      </c>
      <c r="F19" s="146" t="n">
        <f aca="false">D35*(1-$F$38)</f>
        <v>0.65</v>
      </c>
      <c r="G19" s="146" t="n">
        <f aca="false">E35*(1-$G$38)</f>
        <v>0.6</v>
      </c>
      <c r="H19" s="146" t="n">
        <f aca="false">F35*(1-$H$38)</f>
        <v>0.55</v>
      </c>
      <c r="I19" s="135" t="n">
        <f aca="false">G35</f>
        <v>100000</v>
      </c>
      <c r="J19" s="135" t="n">
        <f aca="false">H35</f>
        <v>300000</v>
      </c>
      <c r="K19" s="135" t="n">
        <f aca="false">I35</f>
        <v>800000</v>
      </c>
      <c r="L19" s="147" t="n">
        <f aca="false">J35</f>
        <v>0.15</v>
      </c>
      <c r="M19" s="90" t="n">
        <v>0</v>
      </c>
      <c r="N19" s="90" t="n">
        <v>0.3</v>
      </c>
      <c r="O19" s="90" t="n">
        <v>1</v>
      </c>
      <c r="P19" s="79" t="s">
        <v>1053</v>
      </c>
      <c r="Q19" s="148" t="n">
        <f aca="false">K35</f>
        <v>0.12</v>
      </c>
      <c r="R19" s="148" t="n">
        <f aca="false">L35</f>
        <v>0.1</v>
      </c>
    </row>
    <row r="20" customFormat="false" ht="21" hidden="false" customHeight="true" outlineLevel="0" collapsed="false">
      <c r="C20" s="74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</row>
    <row r="21" customFormat="false" ht="21" hidden="false" customHeight="true" outlineLevel="0" collapsed="false">
      <c r="C21" s="74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</row>
    <row r="22" customFormat="false" ht="21" hidden="false" customHeight="true" outlineLevel="0" collapsed="false">
      <c r="C22" s="83" t="s">
        <v>1067</v>
      </c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</row>
    <row r="23" customFormat="false" ht="21" hidden="false" customHeight="true" outlineLevel="0" collapsed="false">
      <c r="C23" s="96" t="s">
        <v>1068</v>
      </c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</row>
    <row r="24" customFormat="false" ht="21" hidden="false" customHeight="true" outlineLevel="0" collapsed="false">
      <c r="C24" s="96" t="s">
        <v>1069</v>
      </c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</row>
    <row r="25" customFormat="false" ht="21" hidden="false" customHeight="true" outlineLevel="0" collapsed="false">
      <c r="C25" s="74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</row>
    <row r="27" customFormat="false" ht="24" hidden="false" customHeight="true" outlineLevel="0" collapsed="false"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</row>
    <row r="28" customFormat="false" ht="37.5" hidden="false" customHeight="true" outlineLevel="0" collapsed="false">
      <c r="C28" s="78" t="s">
        <v>1036</v>
      </c>
      <c r="D28" s="78" t="s">
        <v>1038</v>
      </c>
      <c r="E28" s="78" t="s">
        <v>1039</v>
      </c>
      <c r="F28" s="78" t="s">
        <v>1040</v>
      </c>
      <c r="G28" s="78" t="s">
        <v>1041</v>
      </c>
      <c r="H28" s="78" t="s">
        <v>1042</v>
      </c>
      <c r="I28" s="78" t="s">
        <v>1043</v>
      </c>
      <c r="J28" s="78" t="s">
        <v>1044</v>
      </c>
      <c r="K28" s="78" t="s">
        <v>1048</v>
      </c>
      <c r="L28" s="78" t="s">
        <v>1049</v>
      </c>
      <c r="M28" s="74"/>
      <c r="N28" s="74"/>
      <c r="O28" s="74"/>
      <c r="P28" s="74"/>
      <c r="Q28" s="74"/>
      <c r="R28" s="74"/>
    </row>
    <row r="29" customFormat="false" ht="24" hidden="false" customHeight="true" outlineLevel="0" collapsed="false">
      <c r="C29" s="74" t="s">
        <v>1051</v>
      </c>
      <c r="D29" s="80" t="n">
        <v>6</v>
      </c>
      <c r="E29" s="80" t="n">
        <v>14</v>
      </c>
      <c r="F29" s="80" t="n">
        <v>25</v>
      </c>
      <c r="G29" s="80" t="n">
        <v>140000</v>
      </c>
      <c r="H29" s="80" t="n">
        <v>170000</v>
      </c>
      <c r="I29" s="80" t="n">
        <v>190000</v>
      </c>
      <c r="J29" s="90" t="n">
        <v>0.42</v>
      </c>
      <c r="K29" s="90" t="n">
        <v>0.4</v>
      </c>
      <c r="L29" s="90" t="n">
        <v>0.38</v>
      </c>
      <c r="M29" s="74"/>
      <c r="N29" s="74"/>
      <c r="O29" s="74"/>
      <c r="P29" s="74"/>
      <c r="Q29" s="74"/>
      <c r="R29" s="74"/>
    </row>
    <row r="30" customFormat="false" ht="24" hidden="false" customHeight="true" outlineLevel="0" collapsed="false">
      <c r="C30" s="74" t="s">
        <v>1054</v>
      </c>
      <c r="D30" s="80" t="n">
        <v>8</v>
      </c>
      <c r="E30" s="80" t="n">
        <v>18</v>
      </c>
      <c r="F30" s="80" t="n">
        <v>30</v>
      </c>
      <c r="G30" s="80" t="n">
        <v>65000</v>
      </c>
      <c r="H30" s="80" t="n">
        <v>75000</v>
      </c>
      <c r="I30" s="80" t="n">
        <v>85000</v>
      </c>
      <c r="J30" s="90" t="n">
        <v>0.55</v>
      </c>
      <c r="K30" s="90" t="n">
        <v>0.52</v>
      </c>
      <c r="L30" s="90" t="n">
        <v>0.5</v>
      </c>
      <c r="M30" s="74"/>
      <c r="N30" s="74"/>
      <c r="O30" s="74"/>
      <c r="P30" s="74"/>
      <c r="Q30" s="74"/>
      <c r="R30" s="74"/>
    </row>
    <row r="31" customFormat="false" ht="24" hidden="false" customHeight="true" outlineLevel="0" collapsed="false">
      <c r="C31" s="74" t="s">
        <v>940</v>
      </c>
      <c r="D31" s="80" t="n">
        <v>90</v>
      </c>
      <c r="E31" s="80" t="n">
        <v>160</v>
      </c>
      <c r="F31" s="80" t="n">
        <v>260</v>
      </c>
      <c r="G31" s="80" t="n">
        <v>4000</v>
      </c>
      <c r="H31" s="80" t="n">
        <v>5000</v>
      </c>
      <c r="I31" s="80" t="n">
        <v>5500</v>
      </c>
      <c r="J31" s="90" t="n">
        <v>0.45</v>
      </c>
      <c r="K31" s="90" t="n">
        <v>0.42</v>
      </c>
      <c r="L31" s="90" t="n">
        <v>0.4</v>
      </c>
      <c r="M31" s="74"/>
      <c r="N31" s="74"/>
      <c r="O31" s="74"/>
      <c r="P31" s="74"/>
      <c r="Q31" s="74"/>
      <c r="R31" s="74"/>
    </row>
    <row r="32" customFormat="false" ht="24" hidden="false" customHeight="true" outlineLevel="0" collapsed="false">
      <c r="C32" s="74" t="s">
        <v>1057</v>
      </c>
      <c r="D32" s="80" t="n">
        <v>1</v>
      </c>
      <c r="E32" s="80" t="n">
        <v>3</v>
      </c>
      <c r="F32" s="80" t="n">
        <v>5</v>
      </c>
      <c r="G32" s="80" t="n">
        <v>250000</v>
      </c>
      <c r="H32" s="80" t="n">
        <v>300000</v>
      </c>
      <c r="I32" s="80" t="n">
        <v>330000</v>
      </c>
      <c r="J32" s="90" t="n">
        <v>0.65</v>
      </c>
      <c r="K32" s="90" t="n">
        <v>0.6</v>
      </c>
      <c r="L32" s="90" t="n">
        <v>0.58</v>
      </c>
      <c r="M32" s="74"/>
      <c r="N32" s="74"/>
      <c r="O32" s="74"/>
      <c r="P32" s="74"/>
      <c r="Q32" s="74"/>
      <c r="R32" s="74"/>
    </row>
    <row r="33" customFormat="false" ht="24" hidden="false" customHeight="true" outlineLevel="0" collapsed="false">
      <c r="C33" s="74" t="s">
        <v>1059</v>
      </c>
      <c r="D33" s="80" t="n">
        <v>400</v>
      </c>
      <c r="E33" s="80" t="n">
        <v>1500</v>
      </c>
      <c r="F33" s="80" t="n">
        <v>4000</v>
      </c>
      <c r="G33" s="80" t="n">
        <v>350</v>
      </c>
      <c r="H33" s="80" t="n">
        <v>350</v>
      </c>
      <c r="I33" s="80" t="n">
        <v>375</v>
      </c>
      <c r="J33" s="90" t="n">
        <v>0.2</v>
      </c>
      <c r="K33" s="90" t="n">
        <v>0.18</v>
      </c>
      <c r="L33" s="90" t="n">
        <v>0.16</v>
      </c>
      <c r="M33" s="74"/>
      <c r="N33" s="74"/>
      <c r="O33" s="74"/>
      <c r="P33" s="74"/>
      <c r="Q33" s="74"/>
      <c r="R33" s="74"/>
    </row>
    <row r="34" customFormat="false" ht="24" hidden="false" customHeight="true" outlineLevel="0" collapsed="false">
      <c r="C34" s="74" t="s">
        <v>1061</v>
      </c>
      <c r="D34" s="80" t="n">
        <v>1200</v>
      </c>
      <c r="E34" s="80" t="n">
        <v>4000</v>
      </c>
      <c r="F34" s="80" t="n">
        <v>9000</v>
      </c>
      <c r="G34" s="80" t="n">
        <v>240</v>
      </c>
      <c r="H34" s="80" t="n">
        <v>250</v>
      </c>
      <c r="I34" s="80" t="n">
        <v>260</v>
      </c>
      <c r="J34" s="90" t="n">
        <v>0.55</v>
      </c>
      <c r="K34" s="90" t="n">
        <v>0.5</v>
      </c>
      <c r="L34" s="90" t="n">
        <v>0.48</v>
      </c>
      <c r="M34" s="74"/>
      <c r="N34" s="74"/>
      <c r="O34" s="74"/>
      <c r="P34" s="74"/>
      <c r="Q34" s="74"/>
      <c r="R34" s="74"/>
    </row>
    <row r="35" customFormat="false" ht="24" hidden="false" customHeight="true" outlineLevel="0" collapsed="false">
      <c r="C35" s="74" t="s">
        <v>1063</v>
      </c>
      <c r="D35" s="80" t="n">
        <v>1</v>
      </c>
      <c r="E35" s="80" t="n">
        <v>1</v>
      </c>
      <c r="F35" s="80" t="n">
        <v>1</v>
      </c>
      <c r="G35" s="80" t="n">
        <v>100000</v>
      </c>
      <c r="H35" s="80" t="n">
        <v>300000</v>
      </c>
      <c r="I35" s="80" t="n">
        <v>800000</v>
      </c>
      <c r="J35" s="90" t="n">
        <v>0.15</v>
      </c>
      <c r="K35" s="90" t="n">
        <v>0.12</v>
      </c>
      <c r="L35" s="90" t="n">
        <v>0.1</v>
      </c>
      <c r="M35" s="74"/>
      <c r="N35" s="74"/>
      <c r="O35" s="74"/>
      <c r="P35" s="74"/>
      <c r="Q35" s="74"/>
      <c r="R35" s="74"/>
    </row>
    <row r="36" customFormat="false" ht="24" hidden="false" customHeight="true" outlineLevel="0" collapsed="false"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</row>
    <row r="37" customFormat="false" ht="24" hidden="false" customHeight="true" outlineLevel="0" collapsed="false"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</row>
    <row r="38" customFormat="false" ht="24" hidden="false" customHeight="true" outlineLevel="0" collapsed="false">
      <c r="C38" s="74" t="s">
        <v>1070</v>
      </c>
      <c r="D38" s="74"/>
      <c r="E38" s="74"/>
      <c r="F38" s="90" t="n">
        <v>0.35</v>
      </c>
      <c r="G38" s="90" t="n">
        <v>0.4</v>
      </c>
      <c r="H38" s="90" t="n">
        <v>0.45</v>
      </c>
      <c r="I38" s="74"/>
      <c r="J38" s="74"/>
      <c r="K38" s="74"/>
      <c r="L38" s="74"/>
      <c r="M38" s="74"/>
      <c r="N38" s="74"/>
      <c r="O38" s="74"/>
      <c r="P38" s="74"/>
      <c r="Q38" s="74"/>
      <c r="R38" s="74"/>
    </row>
    <row r="39" customFormat="false" ht="24" hidden="false" customHeight="true" outlineLevel="0" collapsed="false"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</row>
    <row r="40" customFormat="false" ht="37.5" hidden="false" customHeight="true" outlineLevel="0" collapsed="false">
      <c r="C40" s="78" t="s">
        <v>1036</v>
      </c>
      <c r="D40" s="78" t="s">
        <v>1071</v>
      </c>
      <c r="E40" s="78" t="s">
        <v>1072</v>
      </c>
      <c r="F40" s="78" t="s">
        <v>1073</v>
      </c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</row>
    <row r="41" customFormat="false" ht="24" hidden="false" customHeight="true" outlineLevel="0" collapsed="false">
      <c r="C41" s="74" t="s">
        <v>1051</v>
      </c>
      <c r="D41" s="109" t="n">
        <f aca="false">D29*G29</f>
        <v>840000</v>
      </c>
      <c r="E41" s="109" t="n">
        <f aca="false">E29*H29</f>
        <v>2380000</v>
      </c>
      <c r="F41" s="109" t="n">
        <f aca="false">F29*I29</f>
        <v>4750000</v>
      </c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</row>
    <row r="42" customFormat="false" ht="24" hidden="false" customHeight="true" outlineLevel="0" collapsed="false">
      <c r="C42" s="74" t="s">
        <v>1054</v>
      </c>
      <c r="D42" s="109" t="n">
        <f aca="false">D30*G30</f>
        <v>520000</v>
      </c>
      <c r="E42" s="109" t="n">
        <f aca="false">E30*H30</f>
        <v>1350000</v>
      </c>
      <c r="F42" s="109" t="n">
        <f aca="false">F30*I30</f>
        <v>2550000</v>
      </c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</row>
    <row r="43" customFormat="false" ht="24" hidden="false" customHeight="true" outlineLevel="0" collapsed="false">
      <c r="C43" s="74" t="s">
        <v>940</v>
      </c>
      <c r="D43" s="109" t="n">
        <f aca="false">D31*G31</f>
        <v>360000</v>
      </c>
      <c r="E43" s="109" t="n">
        <f aca="false">E31*H31</f>
        <v>800000</v>
      </c>
      <c r="F43" s="109" t="n">
        <f aca="false">F31*I31</f>
        <v>1430000</v>
      </c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</row>
    <row r="44" customFormat="false" ht="24" hidden="false" customHeight="true" outlineLevel="0" collapsed="false">
      <c r="C44" s="74" t="s">
        <v>1057</v>
      </c>
      <c r="D44" s="109" t="n">
        <f aca="false">D32*G32</f>
        <v>250000</v>
      </c>
      <c r="E44" s="109" t="n">
        <f aca="false">E32*H32</f>
        <v>900000</v>
      </c>
      <c r="F44" s="109" t="n">
        <f aca="false">F32*I32</f>
        <v>1650000</v>
      </c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</row>
    <row r="45" customFormat="false" ht="24" hidden="false" customHeight="true" outlineLevel="0" collapsed="false">
      <c r="C45" s="74" t="s">
        <v>1059</v>
      </c>
      <c r="D45" s="109" t="n">
        <f aca="false">D33*G33</f>
        <v>140000</v>
      </c>
      <c r="E45" s="109" t="n">
        <f aca="false">E33*H33</f>
        <v>525000</v>
      </c>
      <c r="F45" s="109" t="n">
        <f aca="false">F33*I33</f>
        <v>1500000</v>
      </c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</row>
    <row r="46" customFormat="false" ht="24" hidden="false" customHeight="true" outlineLevel="0" collapsed="false">
      <c r="C46" s="74" t="s">
        <v>1061</v>
      </c>
      <c r="D46" s="109" t="n">
        <f aca="false">D34*G34</f>
        <v>288000</v>
      </c>
      <c r="E46" s="109" t="n">
        <f aca="false">E34*H34</f>
        <v>1000000</v>
      </c>
      <c r="F46" s="109" t="n">
        <f aca="false">F34*I34</f>
        <v>2340000</v>
      </c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</row>
    <row r="47" customFormat="false" ht="24" hidden="false" customHeight="true" outlineLevel="0" collapsed="false">
      <c r="C47" s="74" t="s">
        <v>1063</v>
      </c>
      <c r="D47" s="109" t="n">
        <f aca="false">D35*G35</f>
        <v>100000</v>
      </c>
      <c r="E47" s="109" t="n">
        <f aca="false">E35*H35</f>
        <v>300000</v>
      </c>
      <c r="F47" s="109" t="n">
        <f aca="false">F35*I35</f>
        <v>800000</v>
      </c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</row>
    <row r="48" customFormat="false" ht="24" hidden="false" customHeight="true" outlineLevel="0" collapsed="false">
      <c r="C48" s="86" t="s">
        <v>1074</v>
      </c>
      <c r="D48" s="94" t="n">
        <f aca="false">SUM(D41:D47)</f>
        <v>2498000</v>
      </c>
      <c r="E48" s="94" t="n">
        <f aca="false">SUM(E41:E47)</f>
        <v>7255000</v>
      </c>
      <c r="F48" s="94" t="n">
        <f aca="false">SUM(F41:F47)</f>
        <v>15020000</v>
      </c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</row>
    <row r="49" customFormat="false" ht="24" hidden="false" customHeight="true" outlineLevel="0" collapsed="false"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</row>
    <row r="50" customFormat="false" ht="24" hidden="false" customHeight="true" outlineLevel="0" collapsed="false"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</row>
    <row r="51" customFormat="false" ht="24" hidden="false" customHeight="true" outlineLevel="0" collapsed="false">
      <c r="C51" s="83" t="s">
        <v>1075</v>
      </c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</row>
    <row r="52" customFormat="false" ht="24" hidden="false" customHeight="true" outlineLevel="0" collapsed="false">
      <c r="C52" s="83" t="s">
        <v>1076</v>
      </c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</row>
    <row r="53" customFormat="false" ht="24" hidden="false" customHeight="true" outlineLevel="0" collapsed="false">
      <c r="C53" s="83" t="s">
        <v>1077</v>
      </c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</row>
    <row r="54" customFormat="false" ht="24" hidden="false" customHeight="true" outlineLevel="0" collapsed="false">
      <c r="C54" s="83" t="s">
        <v>1078</v>
      </c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8C1C6"/>
    <pageSetUpPr fitToPage="false"/>
  </sheetPr>
  <dimension ref="C1:O5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6" ySplit="5" topLeftCell="G6" activePane="bottomRight" state="frozen"/>
      <selection pane="topLeft" activeCell="A1" activeCellId="0" sqref="A1"/>
      <selection pane="topRight" activeCell="G1" activeCellId="0" sqref="G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2.5"/>
    <col collapsed="false" customWidth="true" hidden="false" outlineLevel="0" max="15" min="3" style="0" width="14"/>
  </cols>
  <sheetData>
    <row r="1" customFormat="false" ht="21" hidden="false" customHeight="true" outlineLevel="0" collapsed="false"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customFormat="false" ht="30" hidden="false" customHeight="true" outlineLevel="0" collapsed="false">
      <c r="C2" s="75" t="s">
        <v>1079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customFormat="false" ht="21" hidden="false" customHeight="true" outlineLevel="0" collapsed="false"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</row>
    <row r="4" customFormat="false" ht="21" hidden="false" customHeight="true" outlineLevel="0" collapsed="false">
      <c r="C4" s="74" t="s">
        <v>580</v>
      </c>
      <c r="D4" s="77" t="str">
        <f aca="false">'W Assumptions'!D3</f>
        <v>Base</v>
      </c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</row>
    <row r="5" customFormat="false" ht="33.75" hidden="false" customHeight="true" outlineLevel="0" collapsed="false">
      <c r="C5" s="78" t="s">
        <v>919</v>
      </c>
      <c r="D5" s="78" t="s">
        <v>832</v>
      </c>
      <c r="E5" s="78" t="s">
        <v>1035</v>
      </c>
      <c r="F5" s="78" t="s">
        <v>1036</v>
      </c>
      <c r="G5" s="78" t="s">
        <v>1080</v>
      </c>
      <c r="H5" s="78" t="s">
        <v>833</v>
      </c>
      <c r="I5" s="78" t="s">
        <v>1081</v>
      </c>
      <c r="J5" s="78" t="s">
        <v>1023</v>
      </c>
      <c r="K5" s="78" t="s">
        <v>1082</v>
      </c>
      <c r="L5" s="78" t="s">
        <v>1083</v>
      </c>
      <c r="M5" s="78" t="s">
        <v>1084</v>
      </c>
      <c r="N5" s="78" t="s">
        <v>1085</v>
      </c>
      <c r="O5" s="78" t="s">
        <v>1025</v>
      </c>
    </row>
    <row r="6" customFormat="false" ht="21" hidden="false" customHeight="true" outlineLevel="0" collapsed="false">
      <c r="C6" s="144" t="n">
        <f aca="false">46266</f>
        <v>46266</v>
      </c>
      <c r="D6" s="81" t="n">
        <f aca="false">1</f>
        <v>1</v>
      </c>
      <c r="E6" s="81" t="str">
        <f aca="false">'W Programs'!C6</f>
        <v>TLI</v>
      </c>
      <c r="F6" s="81" t="str">
        <f aca="false">'W Programs'!D6</f>
        <v>Schools</v>
      </c>
      <c r="G6" s="145" t="n">
        <f aca="false">INDEX('W Programs'!$F$6:$H$6,1,D6)*INDEX('W Assumptions'!$D$7:$F$7,1,D6)*'W Assumptions'!D95/SUM('W Assumptions'!D$95:D$106)</f>
        <v>0</v>
      </c>
      <c r="H6" s="81" t="n">
        <f aca="false">G6*INDEX('W Programs'!$I$6:$K$6,1,D6)*INDEX('W Assumptions'!$D$12:$F$12,1,D6)</f>
        <v>0</v>
      </c>
      <c r="I6" s="81" t="n">
        <f aca="false">H6*CHOOSE(D6,'W Programs'!L6,'W Programs'!Q6,'W Programs'!R6)*INDEX('W Assumptions'!$D$17:$F$17,1,D6)</f>
        <v>0</v>
      </c>
      <c r="J6" s="81" t="n">
        <f aca="false">H6*'W Programs'!$M$6*'W Programs'!$O$6</f>
        <v>0</v>
      </c>
      <c r="K6" s="149" t="n">
        <f aca="false">'W Programs'!$N$6</f>
        <v>0.3</v>
      </c>
      <c r="L6" s="81" t="n">
        <f aca="false">H6*K6</f>
        <v>0</v>
      </c>
      <c r="M6" s="81" t="n">
        <f aca="false">L6*'W Programs'!$M$6*'W Programs'!$O$6</f>
        <v>0</v>
      </c>
      <c r="N6" s="81" t="n">
        <f aca="false">I6*'W Assumptions'!$D$55</f>
        <v>0</v>
      </c>
      <c r="O6" s="81" t="n">
        <f aca="false">H6-I6-J6</f>
        <v>0</v>
      </c>
    </row>
    <row r="7" customFormat="false" ht="21" hidden="false" customHeight="true" outlineLevel="0" collapsed="false">
      <c r="C7" s="144" t="n">
        <f aca="false">46266</f>
        <v>46266</v>
      </c>
      <c r="D7" s="81" t="n">
        <f aca="false">1</f>
        <v>1</v>
      </c>
      <c r="E7" s="81" t="str">
        <f aca="false">'W Programs'!C7</f>
        <v>TLI</v>
      </c>
      <c r="F7" s="81" t="str">
        <f aca="false">'W Programs'!D7</f>
        <v>Activations</v>
      </c>
      <c r="G7" s="145" t="n">
        <f aca="false">INDEX('W Programs'!$F$7:$H$7,1,D7)*INDEX('W Assumptions'!$D$7:$F$7,1,D7)*'W Assumptions'!D95/SUM('W Assumptions'!D$95:D$106)</f>
        <v>0</v>
      </c>
      <c r="H7" s="81" t="n">
        <f aca="false">G7*INDEX('W Programs'!$I$7:$K$7,1,D7)*INDEX('W Assumptions'!$D$12:$F$12,1,D7)</f>
        <v>0</v>
      </c>
      <c r="I7" s="81" t="n">
        <f aca="false">H7*CHOOSE(D7,'W Programs'!L7,'W Programs'!Q7,'W Programs'!R7)*INDEX('W Assumptions'!$D$17:$F$17,1,D7)</f>
        <v>0</v>
      </c>
      <c r="J7" s="81" t="n">
        <f aca="false">H7*'W Programs'!$M$7*'W Programs'!$O$7</f>
        <v>0</v>
      </c>
      <c r="K7" s="149" t="n">
        <f aca="false">'W Programs'!$N$7</f>
        <v>0.3</v>
      </c>
      <c r="L7" s="81" t="n">
        <f aca="false">H7*K7</f>
        <v>0</v>
      </c>
      <c r="M7" s="81" t="n">
        <f aca="false">L7*'W Programs'!$M$7*'W Programs'!$O$7</f>
        <v>0</v>
      </c>
      <c r="N7" s="81" t="n">
        <f aca="false">I7*'W Assumptions'!$D$55</f>
        <v>0</v>
      </c>
      <c r="O7" s="81" t="n">
        <f aca="false">H7-I7-J7</f>
        <v>0</v>
      </c>
    </row>
    <row r="8" customFormat="false" ht="21" hidden="false" customHeight="true" outlineLevel="0" collapsed="false">
      <c r="C8" s="144" t="n">
        <f aca="false">46266</f>
        <v>46266</v>
      </c>
      <c r="D8" s="81" t="n">
        <f aca="false">1</f>
        <v>1</v>
      </c>
      <c r="E8" s="81" t="str">
        <f aca="false">'W Programs'!C8</f>
        <v>TLI</v>
      </c>
      <c r="F8" s="81" t="str">
        <f aca="false">'W Programs'!D8</f>
        <v>Workshops</v>
      </c>
      <c r="G8" s="145" t="n">
        <f aca="false">INDEX('W Programs'!$F$8:$H$8,1,D8)*INDEX('W Assumptions'!$D$7:$F$7,1,D8)*'W Assumptions'!D95/SUM('W Assumptions'!D$95:D$106)</f>
        <v>0</v>
      </c>
      <c r="H8" s="81" t="n">
        <f aca="false">G8*INDEX('W Programs'!$I$8:$K$8,1,D8)*INDEX('W Assumptions'!$D$12:$F$12,1,D8)</f>
        <v>0</v>
      </c>
      <c r="I8" s="81" t="n">
        <f aca="false">H8*CHOOSE(D8,'W Programs'!L8,'W Programs'!Q8,'W Programs'!R8)*INDEX('W Assumptions'!$D$17:$F$17,1,D8)</f>
        <v>0</v>
      </c>
      <c r="J8" s="81" t="n">
        <f aca="false">H8*'W Programs'!$M$8*'W Programs'!$O$8</f>
        <v>0</v>
      </c>
      <c r="K8" s="149" t="n">
        <f aca="false">'W Programs'!$N$8</f>
        <v>0.7</v>
      </c>
      <c r="L8" s="81" t="n">
        <f aca="false">H8*K8</f>
        <v>0</v>
      </c>
      <c r="M8" s="81" t="n">
        <f aca="false">L8*'W Programs'!$M$8*'W Programs'!$O$8</f>
        <v>0</v>
      </c>
      <c r="N8" s="81" t="n">
        <f aca="false">I8*'W Assumptions'!$D$55</f>
        <v>0</v>
      </c>
      <c r="O8" s="81" t="n">
        <f aca="false">H8-I8-J8</f>
        <v>0</v>
      </c>
    </row>
    <row r="9" customFormat="false" ht="21" hidden="false" customHeight="true" outlineLevel="0" collapsed="false">
      <c r="C9" s="144" t="n">
        <f aca="false">46266</f>
        <v>46266</v>
      </c>
      <c r="D9" s="81" t="n">
        <f aca="false">1</f>
        <v>1</v>
      </c>
      <c r="E9" s="81" t="str">
        <f aca="false">'W Programs'!C9</f>
        <v>TLI</v>
      </c>
      <c r="F9" s="81" t="str">
        <f aca="false">'W Programs'!D9</f>
        <v>Installations</v>
      </c>
      <c r="G9" s="145" t="n">
        <f aca="false">INDEX('W Programs'!$F$9:$H$9,1,D9)*INDEX('W Assumptions'!$D$7:$F$7,1,D9)*'W Assumptions'!D95/SUM('W Assumptions'!D$95:D$106)</f>
        <v>0</v>
      </c>
      <c r="H9" s="81" t="n">
        <f aca="false">G9*INDEX('W Programs'!$I$9:$K$9,1,D9)*INDEX('W Assumptions'!$D$12:$F$12,1,D9)</f>
        <v>0</v>
      </c>
      <c r="I9" s="81" t="n">
        <f aca="false">H9*CHOOSE(D9,'W Programs'!L9,'W Programs'!Q9,'W Programs'!R9)*INDEX('W Assumptions'!$D$17:$F$17,1,D9)</f>
        <v>0</v>
      </c>
      <c r="J9" s="81" t="n">
        <f aca="false">H9*'W Programs'!$M$9*'W Programs'!$O$9</f>
        <v>0</v>
      </c>
      <c r="K9" s="149" t="n">
        <f aca="false">'W Programs'!$N$9</f>
        <v>0.3</v>
      </c>
      <c r="L9" s="81" t="n">
        <f aca="false">H9*K9</f>
        <v>0</v>
      </c>
      <c r="M9" s="81" t="n">
        <f aca="false">L9*'W Programs'!$M$9*'W Programs'!$O$9</f>
        <v>0</v>
      </c>
      <c r="N9" s="81" t="n">
        <f aca="false">I9*'W Assumptions'!$D$55</f>
        <v>0</v>
      </c>
      <c r="O9" s="81" t="n">
        <f aca="false">H9-I9-J9</f>
        <v>0</v>
      </c>
    </row>
    <row r="10" customFormat="false" ht="21" hidden="false" customHeight="true" outlineLevel="0" collapsed="false">
      <c r="C10" s="144" t="n">
        <f aca="false">46266</f>
        <v>46266</v>
      </c>
      <c r="D10" s="81" t="n">
        <f aca="false">1</f>
        <v>1</v>
      </c>
      <c r="E10" s="81" t="str">
        <f aca="false">'W Programs'!C10</f>
        <v>TLI</v>
      </c>
      <c r="F10" s="81" t="str">
        <f aca="false">'W Programs'!D10</f>
        <v>Digital</v>
      </c>
      <c r="G10" s="145" t="n">
        <f aca="false">INDEX('W Programs'!$F$10:$H$10,1,D10)*INDEX('W Assumptions'!$D$7:$F$7,1,D10)*'W Assumptions'!D95/SUM('W Assumptions'!D$95:D$106)</f>
        <v>0</v>
      </c>
      <c r="H10" s="81" t="n">
        <f aca="false">G10*INDEX('W Programs'!$I$10:$K$10,1,D10)*INDEX('W Assumptions'!$D$12:$F$12,1,D10)</f>
        <v>0</v>
      </c>
      <c r="I10" s="81" t="n">
        <f aca="false">H10*CHOOSE(D10,'W Programs'!L10,'W Programs'!Q10,'W Programs'!R10)*INDEX('W Assumptions'!$D$17:$F$17,1,D10)</f>
        <v>0</v>
      </c>
      <c r="J10" s="81" t="n">
        <f aca="false">H10*'W Programs'!$M$10*'W Programs'!$O$10</f>
        <v>0</v>
      </c>
      <c r="K10" s="149" t="n">
        <f aca="false">'W Programs'!$N$10</f>
        <v>1</v>
      </c>
      <c r="L10" s="81" t="n">
        <f aca="false">H10*K10</f>
        <v>0</v>
      </c>
      <c r="M10" s="81" t="n">
        <f aca="false">L10*'W Programs'!$M$10*'W Programs'!$O$10</f>
        <v>0</v>
      </c>
      <c r="N10" s="81" t="n">
        <f aca="false">I10*'W Assumptions'!$D$55</f>
        <v>0</v>
      </c>
      <c r="O10" s="81" t="n">
        <f aca="false">H10-I10-J10</f>
        <v>0</v>
      </c>
    </row>
    <row r="11" customFormat="false" ht="21" hidden="false" customHeight="true" outlineLevel="0" collapsed="false">
      <c r="C11" s="144" t="n">
        <f aca="false">46266</f>
        <v>46266</v>
      </c>
      <c r="D11" s="81" t="n">
        <f aca="false">1</f>
        <v>1</v>
      </c>
      <c r="E11" s="81" t="str">
        <f aca="false">'W Programs'!C11</f>
        <v>TLI</v>
      </c>
      <c r="F11" s="81" t="str">
        <f aca="false">'W Programs'!D11</f>
        <v>Retail</v>
      </c>
      <c r="G11" s="145" t="n">
        <f aca="false">INDEX('W Programs'!$F$11:$H$11,1,D11)*INDEX('W Assumptions'!$D$7:$F$7,1,D11)*'W Assumptions'!D95/SUM('W Assumptions'!D$95:D$106)</f>
        <v>0</v>
      </c>
      <c r="H11" s="81" t="n">
        <f aca="false">G11*INDEX('W Programs'!$I$11:$K$11,1,D11)*INDEX('W Assumptions'!$D$12:$F$12,1,D11)</f>
        <v>0</v>
      </c>
      <c r="I11" s="81" t="n">
        <f aca="false">H11*CHOOSE(D11,'W Programs'!L11,'W Programs'!Q11,'W Programs'!R11)*INDEX('W Assumptions'!$D$17:$F$17,1,D11)</f>
        <v>0</v>
      </c>
      <c r="J11" s="81" t="n">
        <f aca="false">H11*'W Programs'!$M$11*'W Programs'!$O$11</f>
        <v>0</v>
      </c>
      <c r="K11" s="149" t="n">
        <f aca="false">'W Programs'!$N$11</f>
        <v>1</v>
      </c>
      <c r="L11" s="81" t="n">
        <f aca="false">H11*K11</f>
        <v>0</v>
      </c>
      <c r="M11" s="81" t="n">
        <f aca="false">L11*'W Programs'!$M$11*'W Programs'!$O$11</f>
        <v>0</v>
      </c>
      <c r="N11" s="81" t="n">
        <f aca="false">I11*'W Assumptions'!$D$55</f>
        <v>0</v>
      </c>
      <c r="O11" s="81" t="n">
        <f aca="false">H11-I11-J11</f>
        <v>0</v>
      </c>
    </row>
    <row r="12" customFormat="false" ht="21" hidden="false" customHeight="true" outlineLevel="0" collapsed="false">
      <c r="C12" s="144" t="n">
        <f aca="false">46266</f>
        <v>46266</v>
      </c>
      <c r="D12" s="81" t="n">
        <f aca="false">1</f>
        <v>1</v>
      </c>
      <c r="E12" s="81" t="str">
        <f aca="false">'W Programs'!C12</f>
        <v>TLI</v>
      </c>
      <c r="F12" s="81" t="str">
        <f aca="false">'W Programs'!D12</f>
        <v>Licensing</v>
      </c>
      <c r="G12" s="145" t="n">
        <f aca="false">INDEX('W Programs'!$F$12:$H$12,1,D12)*INDEX('W Assumptions'!$D$7:$F$7,1,D12)*'W Assumptions'!D95/SUM('W Assumptions'!D$95:D$106)</f>
        <v>0</v>
      </c>
      <c r="H12" s="81" t="n">
        <f aca="false">G12*INDEX('W Programs'!$I$12:$K$12,1,D12)*INDEX('W Assumptions'!$D$12:$F$12,1,D12)</f>
        <v>0</v>
      </c>
      <c r="I12" s="81" t="n">
        <f aca="false">H12*CHOOSE(D12,'W Programs'!L12,'W Programs'!Q12,'W Programs'!R12)*INDEX('W Assumptions'!$D$17:$F$17,1,D12)</f>
        <v>0</v>
      </c>
      <c r="J12" s="81" t="n">
        <f aca="false">H12*'W Programs'!$M$12*'W Programs'!$O$12</f>
        <v>0</v>
      </c>
      <c r="K12" s="149" t="n">
        <f aca="false">'W Programs'!$N$12</f>
        <v>0.3</v>
      </c>
      <c r="L12" s="81" t="n">
        <f aca="false">H12*K12</f>
        <v>0</v>
      </c>
      <c r="M12" s="81" t="n">
        <f aca="false">L12*'W Programs'!$M$12*'W Programs'!$O$12</f>
        <v>0</v>
      </c>
      <c r="N12" s="81" t="n">
        <f aca="false">I12*'W Assumptions'!$D$55</f>
        <v>0</v>
      </c>
      <c r="O12" s="81" t="n">
        <f aca="false">H12-I12-J12</f>
        <v>0</v>
      </c>
    </row>
    <row r="13" customFormat="false" ht="21" hidden="false" customHeight="true" outlineLevel="0" collapsed="false">
      <c r="C13" s="144" t="n">
        <f aca="false">46266</f>
        <v>46266</v>
      </c>
      <c r="D13" s="81" t="n">
        <f aca="false">1</f>
        <v>1</v>
      </c>
      <c r="E13" s="81" t="str">
        <f aca="false">'W Programs'!C13</f>
        <v>WOO IP</v>
      </c>
      <c r="F13" s="81" t="str">
        <f aca="false">'W Programs'!D13</f>
        <v>Schools</v>
      </c>
      <c r="G13" s="145" t="n">
        <f aca="false">INDEX('W Programs'!$F$13:$H$13,1,D13)*INDEX('W Assumptions'!$D$7:$F$7,1,D13)*'W Assumptions'!D95/SUM('W Assumptions'!D$95:D$106)</f>
        <v>0</v>
      </c>
      <c r="H13" s="81" t="n">
        <f aca="false">G13*INDEX('W Programs'!$I$13:$K$13,1,D13)*INDEX('W Assumptions'!$D$12:$F$12,1,D13)</f>
        <v>0</v>
      </c>
      <c r="I13" s="81" t="n">
        <f aca="false">H13*CHOOSE(D13,'W Programs'!L13,'W Programs'!Q13,'W Programs'!R13)*INDEX('W Assumptions'!$D$17:$F$17,1,D13)</f>
        <v>0</v>
      </c>
      <c r="J13" s="81" t="n">
        <f aca="false">H13*'W Programs'!$M$13*'W Programs'!$O$13</f>
        <v>0</v>
      </c>
      <c r="K13" s="149" t="n">
        <f aca="false">'W Programs'!$N$13</f>
        <v>0.3</v>
      </c>
      <c r="L13" s="81" t="n">
        <f aca="false">H13*K13</f>
        <v>0</v>
      </c>
      <c r="M13" s="81" t="n">
        <f aca="false">L13*'W Programs'!$M$13*'W Programs'!$O$13</f>
        <v>0</v>
      </c>
      <c r="N13" s="81" t="n">
        <f aca="false">I13*'W Assumptions'!$D$55</f>
        <v>0</v>
      </c>
      <c r="O13" s="81" t="n">
        <f aca="false">H13-I13-J13</f>
        <v>0</v>
      </c>
    </row>
    <row r="14" customFormat="false" ht="21" hidden="false" customHeight="true" outlineLevel="0" collapsed="false">
      <c r="C14" s="144" t="n">
        <f aca="false">46266</f>
        <v>46266</v>
      </c>
      <c r="D14" s="81" t="n">
        <f aca="false">1</f>
        <v>1</v>
      </c>
      <c r="E14" s="81" t="str">
        <f aca="false">'W Programs'!C14</f>
        <v>WOO IP</v>
      </c>
      <c r="F14" s="81" t="str">
        <f aca="false">'W Programs'!D14</f>
        <v>Activations</v>
      </c>
      <c r="G14" s="145" t="n">
        <f aca="false">INDEX('W Programs'!$F$14:$H$14,1,D14)*INDEX('W Assumptions'!$D$7:$F$7,1,D14)*'W Assumptions'!D95/SUM('W Assumptions'!D$95:D$106)</f>
        <v>0</v>
      </c>
      <c r="H14" s="81" t="n">
        <f aca="false">G14*INDEX('W Programs'!$I$14:$K$14,1,D14)*INDEX('W Assumptions'!$D$12:$F$12,1,D14)</f>
        <v>0</v>
      </c>
      <c r="I14" s="81" t="n">
        <f aca="false">H14*CHOOSE(D14,'W Programs'!L14,'W Programs'!Q14,'W Programs'!R14)*INDEX('W Assumptions'!$D$17:$F$17,1,D14)</f>
        <v>0</v>
      </c>
      <c r="J14" s="81" t="n">
        <f aca="false">H14*'W Programs'!$M$14*'W Programs'!$O$14</f>
        <v>0</v>
      </c>
      <c r="K14" s="149" t="n">
        <f aca="false">'W Programs'!$N$14</f>
        <v>0.3</v>
      </c>
      <c r="L14" s="81" t="n">
        <f aca="false">H14*K14</f>
        <v>0</v>
      </c>
      <c r="M14" s="81" t="n">
        <f aca="false">L14*'W Programs'!$M$14*'W Programs'!$O$14</f>
        <v>0</v>
      </c>
      <c r="N14" s="81" t="n">
        <f aca="false">I14*'W Assumptions'!$D$55</f>
        <v>0</v>
      </c>
      <c r="O14" s="81" t="n">
        <f aca="false">H14-I14-J14</f>
        <v>0</v>
      </c>
    </row>
    <row r="15" customFormat="false" ht="21" hidden="false" customHeight="true" outlineLevel="0" collapsed="false">
      <c r="C15" s="144" t="n">
        <f aca="false">46266</f>
        <v>46266</v>
      </c>
      <c r="D15" s="81" t="n">
        <f aca="false">1</f>
        <v>1</v>
      </c>
      <c r="E15" s="81" t="str">
        <f aca="false">'W Programs'!C15</f>
        <v>WOO IP</v>
      </c>
      <c r="F15" s="81" t="str">
        <f aca="false">'W Programs'!D15</f>
        <v>Workshops</v>
      </c>
      <c r="G15" s="145" t="n">
        <f aca="false">INDEX('W Programs'!$F$15:$H$15,1,D15)*INDEX('W Assumptions'!$D$7:$F$7,1,D15)*'W Assumptions'!D95/SUM('W Assumptions'!D$95:D$106)</f>
        <v>0</v>
      </c>
      <c r="H15" s="81" t="n">
        <f aca="false">G15*INDEX('W Programs'!$I$15:$K$15,1,D15)*INDEX('W Assumptions'!$D$12:$F$12,1,D15)</f>
        <v>0</v>
      </c>
      <c r="I15" s="81" t="n">
        <f aca="false">H15*CHOOSE(D15,'W Programs'!L15,'W Programs'!Q15,'W Programs'!R15)*INDEX('W Assumptions'!$D$17:$F$17,1,D15)</f>
        <v>0</v>
      </c>
      <c r="J15" s="81" t="n">
        <f aca="false">H15*'W Programs'!$M$15*'W Programs'!$O$15</f>
        <v>0</v>
      </c>
      <c r="K15" s="149" t="n">
        <f aca="false">'W Programs'!$N$15</f>
        <v>0.7</v>
      </c>
      <c r="L15" s="81" t="n">
        <f aca="false">H15*K15</f>
        <v>0</v>
      </c>
      <c r="M15" s="81" t="n">
        <f aca="false">L15*'W Programs'!$M$15*'W Programs'!$O$15</f>
        <v>0</v>
      </c>
      <c r="N15" s="81" t="n">
        <f aca="false">I15*'W Assumptions'!$D$55</f>
        <v>0</v>
      </c>
      <c r="O15" s="81" t="n">
        <f aca="false">H15-I15-J15</f>
        <v>0</v>
      </c>
    </row>
    <row r="16" customFormat="false" ht="21" hidden="false" customHeight="true" outlineLevel="0" collapsed="false">
      <c r="C16" s="144" t="n">
        <f aca="false">46266</f>
        <v>46266</v>
      </c>
      <c r="D16" s="81" t="n">
        <f aca="false">1</f>
        <v>1</v>
      </c>
      <c r="E16" s="81" t="str">
        <f aca="false">'W Programs'!C16</f>
        <v>WOO IP</v>
      </c>
      <c r="F16" s="81" t="str">
        <f aca="false">'W Programs'!D16</f>
        <v>Installations</v>
      </c>
      <c r="G16" s="145" t="n">
        <f aca="false">INDEX('W Programs'!$F$16:$H$16,1,D16)*INDEX('W Assumptions'!$D$7:$F$7,1,D16)*'W Assumptions'!D95/SUM('W Assumptions'!D$95:D$106)</f>
        <v>0</v>
      </c>
      <c r="H16" s="81" t="n">
        <f aca="false">G16*INDEX('W Programs'!$I$16:$K$16,1,D16)*INDEX('W Assumptions'!$D$12:$F$12,1,D16)</f>
        <v>0</v>
      </c>
      <c r="I16" s="81" t="n">
        <f aca="false">H16*CHOOSE(D16,'W Programs'!L16,'W Programs'!Q16,'W Programs'!R16)*INDEX('W Assumptions'!$D$17:$F$17,1,D16)</f>
        <v>0</v>
      </c>
      <c r="J16" s="81" t="n">
        <f aca="false">H16*'W Programs'!$M$16*'W Programs'!$O$16</f>
        <v>0</v>
      </c>
      <c r="K16" s="149" t="n">
        <f aca="false">'W Programs'!$N$16</f>
        <v>0.3</v>
      </c>
      <c r="L16" s="81" t="n">
        <f aca="false">H16*K16</f>
        <v>0</v>
      </c>
      <c r="M16" s="81" t="n">
        <f aca="false">L16*'W Programs'!$M$16*'W Programs'!$O$16</f>
        <v>0</v>
      </c>
      <c r="N16" s="81" t="n">
        <f aca="false">I16*'W Assumptions'!$D$55</f>
        <v>0</v>
      </c>
      <c r="O16" s="81" t="n">
        <f aca="false">H16-I16-J16</f>
        <v>0</v>
      </c>
    </row>
    <row r="17" customFormat="false" ht="21" hidden="false" customHeight="true" outlineLevel="0" collapsed="false">
      <c r="C17" s="144" t="n">
        <f aca="false">46266</f>
        <v>46266</v>
      </c>
      <c r="D17" s="81" t="n">
        <f aca="false">1</f>
        <v>1</v>
      </c>
      <c r="E17" s="81" t="str">
        <f aca="false">'W Programs'!C17</f>
        <v>WOO IP</v>
      </c>
      <c r="F17" s="81" t="str">
        <f aca="false">'W Programs'!D17</f>
        <v>Digital</v>
      </c>
      <c r="G17" s="145" t="n">
        <f aca="false">INDEX('W Programs'!$F$17:$H$17,1,D17)*INDEX('W Assumptions'!$D$7:$F$7,1,D17)*'W Assumptions'!D95/SUM('W Assumptions'!D$95:D$106)</f>
        <v>0</v>
      </c>
      <c r="H17" s="81" t="n">
        <f aca="false">G17*INDEX('W Programs'!$I$17:$K$17,1,D17)*INDEX('W Assumptions'!$D$12:$F$12,1,D17)</f>
        <v>0</v>
      </c>
      <c r="I17" s="81" t="n">
        <f aca="false">H17*CHOOSE(D17,'W Programs'!L17,'W Programs'!Q17,'W Programs'!R17)*INDEX('W Assumptions'!$D$17:$F$17,1,D17)</f>
        <v>0</v>
      </c>
      <c r="J17" s="81" t="n">
        <f aca="false">H17*'W Programs'!$M$17*'W Programs'!$O$17</f>
        <v>0</v>
      </c>
      <c r="K17" s="149" t="n">
        <f aca="false">'W Programs'!$N$17</f>
        <v>1</v>
      </c>
      <c r="L17" s="81" t="n">
        <f aca="false">H17*K17</f>
        <v>0</v>
      </c>
      <c r="M17" s="81" t="n">
        <f aca="false">L17*'W Programs'!$M$17*'W Programs'!$O$17</f>
        <v>0</v>
      </c>
      <c r="N17" s="81" t="n">
        <f aca="false">I17*'W Assumptions'!$D$55</f>
        <v>0</v>
      </c>
      <c r="O17" s="81" t="n">
        <f aca="false">H17-I17-J17</f>
        <v>0</v>
      </c>
    </row>
    <row r="18" customFormat="false" ht="21" hidden="false" customHeight="true" outlineLevel="0" collapsed="false">
      <c r="C18" s="144" t="n">
        <f aca="false">46266</f>
        <v>46266</v>
      </c>
      <c r="D18" s="81" t="n">
        <f aca="false">1</f>
        <v>1</v>
      </c>
      <c r="E18" s="81" t="str">
        <f aca="false">'W Programs'!C18</f>
        <v>WOO IP</v>
      </c>
      <c r="F18" s="81" t="str">
        <f aca="false">'W Programs'!D18</f>
        <v>Retail</v>
      </c>
      <c r="G18" s="145" t="n">
        <f aca="false">INDEX('W Programs'!$F$18:$H$18,1,D18)*INDEX('W Assumptions'!$D$7:$F$7,1,D18)*'W Assumptions'!D95/SUM('W Assumptions'!D$95:D$106)</f>
        <v>0</v>
      </c>
      <c r="H18" s="81" t="n">
        <f aca="false">G18*INDEX('W Programs'!$I$18:$K$18,1,D18)*INDEX('W Assumptions'!$D$12:$F$12,1,D18)</f>
        <v>0</v>
      </c>
      <c r="I18" s="81" t="n">
        <f aca="false">H18*CHOOSE(D18,'W Programs'!L18,'W Programs'!Q18,'W Programs'!R18)*INDEX('W Assumptions'!$D$17:$F$17,1,D18)</f>
        <v>0</v>
      </c>
      <c r="J18" s="81" t="n">
        <f aca="false">H18*'W Programs'!$M$18*'W Programs'!$O$18</f>
        <v>0</v>
      </c>
      <c r="K18" s="149" t="n">
        <f aca="false">'W Programs'!$N$18</f>
        <v>1</v>
      </c>
      <c r="L18" s="81" t="n">
        <f aca="false">H18*K18</f>
        <v>0</v>
      </c>
      <c r="M18" s="81" t="n">
        <f aca="false">L18*'W Programs'!$M$18*'W Programs'!$O$18</f>
        <v>0</v>
      </c>
      <c r="N18" s="81" t="n">
        <f aca="false">I18*'W Assumptions'!$D$55</f>
        <v>0</v>
      </c>
      <c r="O18" s="81" t="n">
        <f aca="false">H18-I18-J18</f>
        <v>0</v>
      </c>
    </row>
    <row r="19" customFormat="false" ht="21" hidden="false" customHeight="true" outlineLevel="0" collapsed="false">
      <c r="C19" s="144" t="n">
        <f aca="false">46266</f>
        <v>46266</v>
      </c>
      <c r="D19" s="81" t="n">
        <f aca="false">1</f>
        <v>1</v>
      </c>
      <c r="E19" s="81" t="str">
        <f aca="false">'W Programs'!C19</f>
        <v>WOO IP</v>
      </c>
      <c r="F19" s="81" t="str">
        <f aca="false">'W Programs'!D19</f>
        <v>Licensing</v>
      </c>
      <c r="G19" s="145" t="n">
        <f aca="false">INDEX('W Programs'!$F$19:$H$19,1,D19)*INDEX('W Assumptions'!$D$7:$F$7,1,D19)*'W Assumptions'!D95/SUM('W Assumptions'!D$95:D$106)</f>
        <v>0</v>
      </c>
      <c r="H19" s="81" t="n">
        <f aca="false">G19*INDEX('W Programs'!$I$19:$K$19,1,D19)*INDEX('W Assumptions'!$D$12:$F$12,1,D19)</f>
        <v>0</v>
      </c>
      <c r="I19" s="81" t="n">
        <f aca="false">H19*CHOOSE(D19,'W Programs'!L19,'W Programs'!Q19,'W Programs'!R19)*INDEX('W Assumptions'!$D$17:$F$17,1,D19)</f>
        <v>0</v>
      </c>
      <c r="J19" s="81" t="n">
        <f aca="false">H19*'W Programs'!$M$19*'W Programs'!$O$19</f>
        <v>0</v>
      </c>
      <c r="K19" s="149" t="n">
        <f aca="false">'W Programs'!$N$19</f>
        <v>0.3</v>
      </c>
      <c r="L19" s="81" t="n">
        <f aca="false">H19*K19</f>
        <v>0</v>
      </c>
      <c r="M19" s="81" t="n">
        <f aca="false">L19*'W Programs'!$M$19*'W Programs'!$O$19</f>
        <v>0</v>
      </c>
      <c r="N19" s="81" t="n">
        <f aca="false">I19*'W Assumptions'!$D$55</f>
        <v>0</v>
      </c>
      <c r="O19" s="81" t="n">
        <f aca="false">H19-I19-J19</f>
        <v>0</v>
      </c>
    </row>
    <row r="20" customFormat="false" ht="21" hidden="false" customHeight="true" outlineLevel="0" collapsed="false">
      <c r="C20" s="144" t="n">
        <f aca="false">46296</f>
        <v>46296</v>
      </c>
      <c r="D20" s="81" t="n">
        <f aca="false">1</f>
        <v>1</v>
      </c>
      <c r="E20" s="81" t="str">
        <f aca="false">'W Programs'!C6</f>
        <v>TLI</v>
      </c>
      <c r="F20" s="81" t="str">
        <f aca="false">'W Programs'!D6</f>
        <v>Schools</v>
      </c>
      <c r="G20" s="145" t="n">
        <f aca="false">INDEX('W Programs'!$F$6:$H$6,1,D20)*INDEX('W Assumptions'!$D$7:$F$7,1,D20)*'W Assumptions'!D96/SUM('W Assumptions'!D$95:D$106)</f>
        <v>0.0552631578947368</v>
      </c>
      <c r="H20" s="81" t="n">
        <f aca="false">G20*INDEX('W Programs'!$I$6:$K$6,1,D20)*INDEX('W Assumptions'!$D$12:$F$12,1,D20)</f>
        <v>7736.84210526316</v>
      </c>
      <c r="I20" s="81" t="n">
        <f aca="false">H20*CHOOSE(D20,'W Programs'!L6,'W Programs'!Q6,'W Programs'!R6)*INDEX('W Assumptions'!$D$17:$F$17,1,D20)</f>
        <v>3249.47368421053</v>
      </c>
      <c r="J20" s="81" t="n">
        <f aca="false">H20*'W Programs'!$M$6*'W Programs'!$O$6</f>
        <v>0</v>
      </c>
      <c r="K20" s="149" t="n">
        <f aca="false">'W Programs'!$N$6</f>
        <v>0.3</v>
      </c>
      <c r="L20" s="81" t="n">
        <f aca="false">H20*K20</f>
        <v>2321.05263157895</v>
      </c>
      <c r="M20" s="81" t="n">
        <f aca="false">L20*'W Programs'!$M$6*'W Programs'!$O$6</f>
        <v>0</v>
      </c>
      <c r="N20" s="81" t="n">
        <f aca="false">I20*'W Assumptions'!$D$55+I6*(1-'W Assumptions'!$D$55)</f>
        <v>2599.57894736842</v>
      </c>
      <c r="O20" s="81" t="n">
        <f aca="false">H20-I20-J20</f>
        <v>4487.36842105263</v>
      </c>
    </row>
    <row r="21" customFormat="false" ht="21" hidden="false" customHeight="true" outlineLevel="0" collapsed="false">
      <c r="C21" s="144" t="n">
        <f aca="false">46296</f>
        <v>46296</v>
      </c>
      <c r="D21" s="81" t="n">
        <f aca="false">1</f>
        <v>1</v>
      </c>
      <c r="E21" s="81" t="str">
        <f aca="false">'W Programs'!C7</f>
        <v>TLI</v>
      </c>
      <c r="F21" s="81" t="str">
        <f aca="false">'W Programs'!D7</f>
        <v>Activations</v>
      </c>
      <c r="G21" s="145" t="n">
        <f aca="false">INDEX('W Programs'!$F$7:$H$7,1,D21)*INDEX('W Assumptions'!$D$7:$F$7,1,D21)*'W Assumptions'!D96/SUM('W Assumptions'!D$95:D$106)</f>
        <v>0.0736842105263158</v>
      </c>
      <c r="H21" s="81" t="n">
        <f aca="false">G21*INDEX('W Programs'!$I$7:$K$7,1,D21)*INDEX('W Assumptions'!$D$12:$F$12,1,D21)</f>
        <v>4789.47368421053</v>
      </c>
      <c r="I21" s="81" t="n">
        <f aca="false">H21*CHOOSE(D21,'W Programs'!L7,'W Programs'!Q7,'W Programs'!R7)*INDEX('W Assumptions'!$D$17:$F$17,1,D21)</f>
        <v>2634.21052631579</v>
      </c>
      <c r="J21" s="81" t="n">
        <f aca="false">H21*'W Programs'!$M$7*'W Programs'!$O$7</f>
        <v>0</v>
      </c>
      <c r="K21" s="149" t="n">
        <f aca="false">'W Programs'!$N$7</f>
        <v>0.3</v>
      </c>
      <c r="L21" s="81" t="n">
        <f aca="false">H21*K21</f>
        <v>1436.84210526316</v>
      </c>
      <c r="M21" s="81" t="n">
        <f aca="false">L21*'W Programs'!$M$7*'W Programs'!$O$7</f>
        <v>0</v>
      </c>
      <c r="N21" s="81" t="n">
        <f aca="false">I21*'W Assumptions'!$D$55+I7*(1-'W Assumptions'!$D$55)</f>
        <v>2107.36842105263</v>
      </c>
      <c r="O21" s="81" t="n">
        <f aca="false">H21-I21-J21</f>
        <v>2155.26315789474</v>
      </c>
    </row>
    <row r="22" customFormat="false" ht="21" hidden="false" customHeight="true" outlineLevel="0" collapsed="false">
      <c r="C22" s="144" t="n">
        <f aca="false">46296</f>
        <v>46296</v>
      </c>
      <c r="D22" s="81" t="n">
        <f aca="false">1</f>
        <v>1</v>
      </c>
      <c r="E22" s="81" t="str">
        <f aca="false">'W Programs'!C8</f>
        <v>TLI</v>
      </c>
      <c r="F22" s="81" t="str">
        <f aca="false">'W Programs'!D8</f>
        <v>Workshops</v>
      </c>
      <c r="G22" s="145" t="n">
        <f aca="false">INDEX('W Programs'!$F$8:$H$8,1,D22)*INDEX('W Assumptions'!$D$7:$F$7,1,D22)*'W Assumptions'!D96/SUM('W Assumptions'!D$95:D$106)</f>
        <v>0.828947368421053</v>
      </c>
      <c r="H22" s="81" t="n">
        <f aca="false">G22*INDEX('W Programs'!$I$8:$K$8,1,D22)*INDEX('W Assumptions'!$D$12:$F$12,1,D22)</f>
        <v>3315.78947368421</v>
      </c>
      <c r="I22" s="81" t="n">
        <f aca="false">H22*CHOOSE(D22,'W Programs'!L8,'W Programs'!Q8,'W Programs'!R8)*INDEX('W Assumptions'!$D$17:$F$17,1,D22)</f>
        <v>1492.10526315789</v>
      </c>
      <c r="J22" s="81" t="n">
        <f aca="false">H22*'W Programs'!$M$8*'W Programs'!$O$8</f>
        <v>0</v>
      </c>
      <c r="K22" s="149" t="n">
        <f aca="false">'W Programs'!$N$8</f>
        <v>0.7</v>
      </c>
      <c r="L22" s="81" t="n">
        <f aca="false">H22*K22</f>
        <v>2321.05263157895</v>
      </c>
      <c r="M22" s="81" t="n">
        <f aca="false">L22*'W Programs'!$M$8*'W Programs'!$O$8</f>
        <v>0</v>
      </c>
      <c r="N22" s="81" t="n">
        <f aca="false">I22*'W Assumptions'!$D$55+I8*(1-'W Assumptions'!$D$55)</f>
        <v>1193.68421052632</v>
      </c>
      <c r="O22" s="81" t="n">
        <f aca="false">H22-I22-J22</f>
        <v>1823.68421052632</v>
      </c>
    </row>
    <row r="23" customFormat="false" ht="21" hidden="false" customHeight="true" outlineLevel="0" collapsed="false">
      <c r="C23" s="144" t="n">
        <f aca="false">46296</f>
        <v>46296</v>
      </c>
      <c r="D23" s="81" t="n">
        <f aca="false">1</f>
        <v>1</v>
      </c>
      <c r="E23" s="81" t="str">
        <f aca="false">'W Programs'!C9</f>
        <v>TLI</v>
      </c>
      <c r="F23" s="81" t="str">
        <f aca="false">'W Programs'!D9</f>
        <v>Installations</v>
      </c>
      <c r="G23" s="145" t="n">
        <f aca="false">INDEX('W Programs'!$F$9:$H$9,1,D23)*INDEX('W Assumptions'!$D$7:$F$7,1,D23)*'W Assumptions'!D96/SUM('W Assumptions'!D$95:D$106)</f>
        <v>0.00921052631578947</v>
      </c>
      <c r="H23" s="81" t="n">
        <f aca="false">G23*INDEX('W Programs'!$I$9:$K$9,1,D23)*INDEX('W Assumptions'!$D$12:$F$12,1,D23)</f>
        <v>2302.63157894737</v>
      </c>
      <c r="I23" s="81" t="n">
        <f aca="false">H23*CHOOSE(D23,'W Programs'!L9,'W Programs'!Q9,'W Programs'!R9)*INDEX('W Assumptions'!$D$17:$F$17,1,D23)</f>
        <v>1496.71052631579</v>
      </c>
      <c r="J23" s="81" t="n">
        <f aca="false">H23*'W Programs'!$M$9*'W Programs'!$O$9</f>
        <v>0</v>
      </c>
      <c r="K23" s="149" t="n">
        <f aca="false">'W Programs'!$N$9</f>
        <v>0.3</v>
      </c>
      <c r="L23" s="81" t="n">
        <f aca="false">H23*K23</f>
        <v>690.789473684211</v>
      </c>
      <c r="M23" s="81" t="n">
        <f aca="false">L23*'W Programs'!$M$9*'W Programs'!$O$9</f>
        <v>0</v>
      </c>
      <c r="N23" s="81" t="n">
        <f aca="false">I23*'W Assumptions'!$D$55+I9*(1-'W Assumptions'!$D$55)</f>
        <v>1197.36842105263</v>
      </c>
      <c r="O23" s="81" t="n">
        <f aca="false">H23-I23-J23</f>
        <v>805.921052631579</v>
      </c>
    </row>
    <row r="24" customFormat="false" ht="21" hidden="false" customHeight="true" outlineLevel="0" collapsed="false">
      <c r="C24" s="144" t="n">
        <f aca="false">46296</f>
        <v>46296</v>
      </c>
      <c r="D24" s="81" t="n">
        <f aca="false">1</f>
        <v>1</v>
      </c>
      <c r="E24" s="81" t="str">
        <f aca="false">'W Programs'!C10</f>
        <v>TLI</v>
      </c>
      <c r="F24" s="81" t="str">
        <f aca="false">'W Programs'!D10</f>
        <v>Digital</v>
      </c>
      <c r="G24" s="145" t="n">
        <f aca="false">INDEX('W Programs'!$F$10:$H$10,1,D24)*INDEX('W Assumptions'!$D$7:$F$7,1,D24)*'W Assumptions'!D96/SUM('W Assumptions'!D$95:D$106)</f>
        <v>3.68421052631579</v>
      </c>
      <c r="H24" s="81" t="n">
        <f aca="false">G24*INDEX('W Programs'!$I$10:$K$10,1,D24)*INDEX('W Assumptions'!$D$12:$F$12,1,D24)</f>
        <v>1289.47368421053</v>
      </c>
      <c r="I24" s="81" t="n">
        <f aca="false">H24*CHOOSE(D24,'W Programs'!L10,'W Programs'!Q10,'W Programs'!R10)*INDEX('W Assumptions'!$D$17:$F$17,1,D24)</f>
        <v>257.894736842105</v>
      </c>
      <c r="J24" s="81" t="n">
        <f aca="false">H24*'W Programs'!$M$10*'W Programs'!$O$10</f>
        <v>0</v>
      </c>
      <c r="K24" s="149" t="n">
        <f aca="false">'W Programs'!$N$10</f>
        <v>1</v>
      </c>
      <c r="L24" s="81" t="n">
        <f aca="false">H24*K24</f>
        <v>1289.47368421053</v>
      </c>
      <c r="M24" s="81" t="n">
        <f aca="false">L24*'W Programs'!$M$10*'W Programs'!$O$10</f>
        <v>0</v>
      </c>
      <c r="N24" s="81" t="n">
        <f aca="false">I24*'W Assumptions'!$D$55+I10*(1-'W Assumptions'!$D$55)</f>
        <v>206.315789473684</v>
      </c>
      <c r="O24" s="81" t="n">
        <f aca="false">H24-I24-J24</f>
        <v>1031.57894736842</v>
      </c>
    </row>
    <row r="25" customFormat="false" ht="21" hidden="false" customHeight="true" outlineLevel="0" collapsed="false">
      <c r="C25" s="144" t="n">
        <f aca="false">46296</f>
        <v>46296</v>
      </c>
      <c r="D25" s="81" t="n">
        <f aca="false">1</f>
        <v>1</v>
      </c>
      <c r="E25" s="81" t="str">
        <f aca="false">'W Programs'!C11</f>
        <v>TLI</v>
      </c>
      <c r="F25" s="81" t="str">
        <f aca="false">'W Programs'!D11</f>
        <v>Retail</v>
      </c>
      <c r="G25" s="145" t="n">
        <f aca="false">INDEX('W Programs'!$F$11:$H$11,1,D25)*INDEX('W Assumptions'!$D$7:$F$7,1,D25)*'W Assumptions'!D96/SUM('W Assumptions'!D$95:D$106)</f>
        <v>11.0526315789474</v>
      </c>
      <c r="H25" s="81" t="n">
        <f aca="false">G25*INDEX('W Programs'!$I$11:$K$11,1,D25)*INDEX('W Assumptions'!$D$12:$F$12,1,D25)</f>
        <v>2652.63157894737</v>
      </c>
      <c r="I25" s="81" t="n">
        <f aca="false">H25*CHOOSE(D25,'W Programs'!L11,'W Programs'!Q11,'W Programs'!R11)*INDEX('W Assumptions'!$D$17:$F$17,1,D25)</f>
        <v>1458.94736842105</v>
      </c>
      <c r="J25" s="81" t="n">
        <f aca="false">H25*'W Programs'!$M$11*'W Programs'!$O$11</f>
        <v>0</v>
      </c>
      <c r="K25" s="149" t="n">
        <f aca="false">'W Programs'!$N$11</f>
        <v>1</v>
      </c>
      <c r="L25" s="81" t="n">
        <f aca="false">H25*K25</f>
        <v>2652.63157894737</v>
      </c>
      <c r="M25" s="81" t="n">
        <f aca="false">L25*'W Programs'!$M$11*'W Programs'!$O$11</f>
        <v>0</v>
      </c>
      <c r="N25" s="81" t="n">
        <f aca="false">I25*'W Assumptions'!$D$55+I11*(1-'W Assumptions'!$D$55)</f>
        <v>1167.15789473684</v>
      </c>
      <c r="O25" s="81" t="n">
        <f aca="false">H25-I25-J25</f>
        <v>1193.68421052632</v>
      </c>
    </row>
    <row r="26" customFormat="false" ht="21" hidden="false" customHeight="true" outlineLevel="0" collapsed="false">
      <c r="C26" s="144" t="n">
        <f aca="false">46296</f>
        <v>46296</v>
      </c>
      <c r="D26" s="81" t="n">
        <f aca="false">1</f>
        <v>1</v>
      </c>
      <c r="E26" s="81" t="str">
        <f aca="false">'W Programs'!C12</f>
        <v>TLI</v>
      </c>
      <c r="F26" s="81" t="str">
        <f aca="false">'W Programs'!D12</f>
        <v>Licensing</v>
      </c>
      <c r="G26" s="145" t="n">
        <f aca="false">INDEX('W Programs'!$F$12:$H$12,1,D26)*INDEX('W Assumptions'!$D$7:$F$7,1,D26)*'W Assumptions'!D96/SUM('W Assumptions'!D$95:D$106)</f>
        <v>0.00921052631578947</v>
      </c>
      <c r="H26" s="81" t="n">
        <f aca="false">G26*INDEX('W Programs'!$I$12:$K$12,1,D26)*INDEX('W Assumptions'!$D$12:$F$12,1,D26)</f>
        <v>921.052631578947</v>
      </c>
      <c r="I26" s="81" t="n">
        <f aca="false">H26*CHOOSE(D26,'W Programs'!L12,'W Programs'!Q12,'W Programs'!R12)*INDEX('W Assumptions'!$D$17:$F$17,1,D26)</f>
        <v>138.157894736842</v>
      </c>
      <c r="J26" s="81" t="n">
        <f aca="false">H26*'W Programs'!$M$12*'W Programs'!$O$12</f>
        <v>0</v>
      </c>
      <c r="K26" s="149" t="n">
        <f aca="false">'W Programs'!$N$12</f>
        <v>0.3</v>
      </c>
      <c r="L26" s="81" t="n">
        <f aca="false">H26*K26</f>
        <v>276.315789473684</v>
      </c>
      <c r="M26" s="81" t="n">
        <f aca="false">L26*'W Programs'!$M$12*'W Programs'!$O$12</f>
        <v>0</v>
      </c>
      <c r="N26" s="81" t="n">
        <f aca="false">I26*'W Assumptions'!$D$55+I12*(1-'W Assumptions'!$D$55)</f>
        <v>110.526315789474</v>
      </c>
      <c r="O26" s="81" t="n">
        <f aca="false">H26-I26-J26</f>
        <v>782.894736842105</v>
      </c>
    </row>
    <row r="27" customFormat="false" ht="21" hidden="false" customHeight="true" outlineLevel="0" collapsed="false">
      <c r="C27" s="144" t="n">
        <f aca="false">46296</f>
        <v>46296</v>
      </c>
      <c r="D27" s="81" t="n">
        <f aca="false">1</f>
        <v>1</v>
      </c>
      <c r="E27" s="81" t="str">
        <f aca="false">'W Programs'!C13</f>
        <v>WOO IP</v>
      </c>
      <c r="F27" s="81" t="str">
        <f aca="false">'W Programs'!D13</f>
        <v>Schools</v>
      </c>
      <c r="G27" s="145" t="n">
        <f aca="false">INDEX('W Programs'!$F$13:$H$13,1,D27)*INDEX('W Assumptions'!$D$7:$F$7,1,D27)*'W Assumptions'!D96/SUM('W Assumptions'!D$95:D$106)</f>
        <v>0.102631578947368</v>
      </c>
      <c r="H27" s="81" t="n">
        <f aca="false">G27*INDEX('W Programs'!$I$13:$K$13,1,D27)*INDEX('W Assumptions'!$D$12:$F$12,1,D27)</f>
        <v>14368.4210526316</v>
      </c>
      <c r="I27" s="81" t="n">
        <f aca="false">H27*CHOOSE(D27,'W Programs'!L13,'W Programs'!Q13,'W Programs'!R13)*INDEX('W Assumptions'!$D$17:$F$17,1,D27)</f>
        <v>6034.73684210526</v>
      </c>
      <c r="J27" s="81" t="n">
        <f aca="false">H27*'W Programs'!$M$13*'W Programs'!$O$13</f>
        <v>0</v>
      </c>
      <c r="K27" s="149" t="n">
        <f aca="false">'W Programs'!$N$13</f>
        <v>0.3</v>
      </c>
      <c r="L27" s="81" t="n">
        <f aca="false">H27*K27</f>
        <v>4310.52631578947</v>
      </c>
      <c r="M27" s="81" t="n">
        <f aca="false">L27*'W Programs'!$M$13*'W Programs'!$O$13</f>
        <v>0</v>
      </c>
      <c r="N27" s="81" t="n">
        <f aca="false">I27*'W Assumptions'!$D$55+I13*(1-'W Assumptions'!$D$55)</f>
        <v>4827.78947368421</v>
      </c>
      <c r="O27" s="81" t="n">
        <f aca="false">H27-I27-J27</f>
        <v>8333.68421052632</v>
      </c>
    </row>
    <row r="28" customFormat="false" ht="21" hidden="false" customHeight="true" outlineLevel="0" collapsed="false">
      <c r="C28" s="144" t="n">
        <f aca="false">46296</f>
        <v>46296</v>
      </c>
      <c r="D28" s="81" t="n">
        <f aca="false">1</f>
        <v>1</v>
      </c>
      <c r="E28" s="81" t="str">
        <f aca="false">'W Programs'!C14</f>
        <v>WOO IP</v>
      </c>
      <c r="F28" s="81" t="str">
        <f aca="false">'W Programs'!D14</f>
        <v>Activations</v>
      </c>
      <c r="G28" s="145" t="n">
        <f aca="false">INDEX('W Programs'!$F$14:$H$14,1,D28)*INDEX('W Assumptions'!$D$7:$F$7,1,D28)*'W Assumptions'!D96/SUM('W Assumptions'!D$95:D$106)</f>
        <v>0.136842105263158</v>
      </c>
      <c r="H28" s="81" t="n">
        <f aca="false">G28*INDEX('W Programs'!$I$14:$K$14,1,D28)*INDEX('W Assumptions'!$D$12:$F$12,1,D28)</f>
        <v>8894.73684210526</v>
      </c>
      <c r="I28" s="81" t="n">
        <f aca="false">H28*CHOOSE(D28,'W Programs'!L14,'W Programs'!Q14,'W Programs'!R14)*INDEX('W Assumptions'!$D$17:$F$17,1,D28)</f>
        <v>4892.1052631579</v>
      </c>
      <c r="J28" s="81" t="n">
        <f aca="false">H28*'W Programs'!$M$14*'W Programs'!$O$14</f>
        <v>0</v>
      </c>
      <c r="K28" s="149" t="n">
        <f aca="false">'W Programs'!$N$14</f>
        <v>0.3</v>
      </c>
      <c r="L28" s="81" t="n">
        <f aca="false">H28*K28</f>
        <v>2668.42105263158</v>
      </c>
      <c r="M28" s="81" t="n">
        <f aca="false">L28*'W Programs'!$M$14*'W Programs'!$O$14</f>
        <v>0</v>
      </c>
      <c r="N28" s="81" t="n">
        <f aca="false">I28*'W Assumptions'!$D$55+I14*(1-'W Assumptions'!$D$55)</f>
        <v>3913.68421052632</v>
      </c>
      <c r="O28" s="81" t="n">
        <f aca="false">H28-I28-J28</f>
        <v>4002.63157894737</v>
      </c>
    </row>
    <row r="29" customFormat="false" ht="21" hidden="false" customHeight="true" outlineLevel="0" collapsed="false">
      <c r="C29" s="144" t="n">
        <f aca="false">46296</f>
        <v>46296</v>
      </c>
      <c r="D29" s="81" t="n">
        <f aca="false">1</f>
        <v>1</v>
      </c>
      <c r="E29" s="81" t="str">
        <f aca="false">'W Programs'!C15</f>
        <v>WOO IP</v>
      </c>
      <c r="F29" s="81" t="str">
        <f aca="false">'W Programs'!D15</f>
        <v>Workshops</v>
      </c>
      <c r="G29" s="145" t="n">
        <f aca="false">INDEX('W Programs'!$F$15:$H$15,1,D29)*INDEX('W Assumptions'!$D$7:$F$7,1,D29)*'W Assumptions'!D96/SUM('W Assumptions'!D$95:D$106)</f>
        <v>1.53947368421053</v>
      </c>
      <c r="H29" s="81" t="n">
        <f aca="false">G29*INDEX('W Programs'!$I$15:$K$15,1,D29)*INDEX('W Assumptions'!$D$12:$F$12,1,D29)</f>
        <v>6157.89473684211</v>
      </c>
      <c r="I29" s="81" t="n">
        <f aca="false">H29*CHOOSE(D29,'W Programs'!L15,'W Programs'!Q15,'W Programs'!R15)*INDEX('W Assumptions'!$D$17:$F$17,1,D29)</f>
        <v>2771.05263157895</v>
      </c>
      <c r="J29" s="81" t="n">
        <f aca="false">H29*'W Programs'!$M$15*'W Programs'!$O$15</f>
        <v>0</v>
      </c>
      <c r="K29" s="149" t="n">
        <f aca="false">'W Programs'!$N$15</f>
        <v>0.7</v>
      </c>
      <c r="L29" s="81" t="n">
        <f aca="false">H29*K29</f>
        <v>4310.52631578947</v>
      </c>
      <c r="M29" s="81" t="n">
        <f aca="false">L29*'W Programs'!$M$15*'W Programs'!$O$15</f>
        <v>0</v>
      </c>
      <c r="N29" s="81" t="n">
        <f aca="false">I29*'W Assumptions'!$D$55+I15*(1-'W Assumptions'!$D$55)</f>
        <v>2216.84210526316</v>
      </c>
      <c r="O29" s="81" t="n">
        <f aca="false">H29-I29-J29</f>
        <v>3386.84210526316</v>
      </c>
    </row>
    <row r="30" customFormat="false" ht="21" hidden="false" customHeight="true" outlineLevel="0" collapsed="false">
      <c r="C30" s="144" t="n">
        <f aca="false">46296</f>
        <v>46296</v>
      </c>
      <c r="D30" s="81" t="n">
        <f aca="false">1</f>
        <v>1</v>
      </c>
      <c r="E30" s="81" t="str">
        <f aca="false">'W Programs'!C16</f>
        <v>WOO IP</v>
      </c>
      <c r="F30" s="81" t="str">
        <f aca="false">'W Programs'!D16</f>
        <v>Installations</v>
      </c>
      <c r="G30" s="145" t="n">
        <f aca="false">INDEX('W Programs'!$F$16:$H$16,1,D30)*INDEX('W Assumptions'!$D$7:$F$7,1,D30)*'W Assumptions'!D96/SUM('W Assumptions'!D$95:D$106)</f>
        <v>0.0171052631578947</v>
      </c>
      <c r="H30" s="81" t="n">
        <f aca="false">G30*INDEX('W Programs'!$I$16:$K$16,1,D30)*INDEX('W Assumptions'!$D$12:$F$12,1,D30)</f>
        <v>4276.31578947368</v>
      </c>
      <c r="I30" s="81" t="n">
        <f aca="false">H30*CHOOSE(D30,'W Programs'!L16,'W Programs'!Q16,'W Programs'!R16)*INDEX('W Assumptions'!$D$17:$F$17,1,D30)</f>
        <v>2779.6052631579</v>
      </c>
      <c r="J30" s="81" t="n">
        <f aca="false">H30*'W Programs'!$M$16*'W Programs'!$O$16</f>
        <v>0</v>
      </c>
      <c r="K30" s="149" t="n">
        <f aca="false">'W Programs'!$N$16</f>
        <v>0.3</v>
      </c>
      <c r="L30" s="81" t="n">
        <f aca="false">H30*K30</f>
        <v>1282.89473684211</v>
      </c>
      <c r="M30" s="81" t="n">
        <f aca="false">L30*'W Programs'!$M$16*'W Programs'!$O$16</f>
        <v>0</v>
      </c>
      <c r="N30" s="81" t="n">
        <f aca="false">I30*'W Assumptions'!$D$55+I16*(1-'W Assumptions'!$D$55)</f>
        <v>2223.68421052632</v>
      </c>
      <c r="O30" s="81" t="n">
        <f aca="false">H30-I30-J30</f>
        <v>1496.71052631579</v>
      </c>
    </row>
    <row r="31" customFormat="false" ht="21" hidden="false" customHeight="true" outlineLevel="0" collapsed="false">
      <c r="C31" s="144" t="n">
        <f aca="false">46296</f>
        <v>46296</v>
      </c>
      <c r="D31" s="81" t="n">
        <f aca="false">1</f>
        <v>1</v>
      </c>
      <c r="E31" s="81" t="str">
        <f aca="false">'W Programs'!C17</f>
        <v>WOO IP</v>
      </c>
      <c r="F31" s="81" t="str">
        <f aca="false">'W Programs'!D17</f>
        <v>Digital</v>
      </c>
      <c r="G31" s="145" t="n">
        <f aca="false">INDEX('W Programs'!$F$17:$H$17,1,D31)*INDEX('W Assumptions'!$D$7:$F$7,1,D31)*'W Assumptions'!D96/SUM('W Assumptions'!D$95:D$106)</f>
        <v>6.8421052631579</v>
      </c>
      <c r="H31" s="81" t="n">
        <f aca="false">G31*INDEX('W Programs'!$I$17:$K$17,1,D31)*INDEX('W Assumptions'!$D$12:$F$12,1,D31)</f>
        <v>2394.73684210526</v>
      </c>
      <c r="I31" s="81" t="n">
        <f aca="false">H31*CHOOSE(D31,'W Programs'!L17,'W Programs'!Q17,'W Programs'!R17)*INDEX('W Assumptions'!$D$17:$F$17,1,D31)</f>
        <v>478.947368421053</v>
      </c>
      <c r="J31" s="81" t="n">
        <f aca="false">H31*'W Programs'!$M$17*'W Programs'!$O$17</f>
        <v>0</v>
      </c>
      <c r="K31" s="149" t="n">
        <f aca="false">'W Programs'!$N$17</f>
        <v>1</v>
      </c>
      <c r="L31" s="81" t="n">
        <f aca="false">H31*K31</f>
        <v>2394.73684210526</v>
      </c>
      <c r="M31" s="81" t="n">
        <f aca="false">L31*'W Programs'!$M$17*'W Programs'!$O$17</f>
        <v>0</v>
      </c>
      <c r="N31" s="81" t="n">
        <f aca="false">I31*'W Assumptions'!$D$55+I17*(1-'W Assumptions'!$D$55)</f>
        <v>383.157894736842</v>
      </c>
      <c r="O31" s="81" t="n">
        <f aca="false">H31-I31-J31</f>
        <v>1915.78947368421</v>
      </c>
    </row>
    <row r="32" customFormat="false" ht="21" hidden="false" customHeight="true" outlineLevel="0" collapsed="false">
      <c r="C32" s="144" t="n">
        <f aca="false">46296</f>
        <v>46296</v>
      </c>
      <c r="D32" s="81" t="n">
        <f aca="false">1</f>
        <v>1</v>
      </c>
      <c r="E32" s="81" t="str">
        <f aca="false">'W Programs'!C18</f>
        <v>WOO IP</v>
      </c>
      <c r="F32" s="81" t="str">
        <f aca="false">'W Programs'!D18</f>
        <v>Retail</v>
      </c>
      <c r="G32" s="145" t="n">
        <f aca="false">INDEX('W Programs'!$F$18:$H$18,1,D32)*INDEX('W Assumptions'!$D$7:$F$7,1,D32)*'W Assumptions'!D96/SUM('W Assumptions'!D$95:D$106)</f>
        <v>20.5263157894737</v>
      </c>
      <c r="H32" s="81" t="n">
        <f aca="false">G32*INDEX('W Programs'!$I$18:$K$18,1,D32)*INDEX('W Assumptions'!$D$12:$F$12,1,D32)</f>
        <v>4926.31578947368</v>
      </c>
      <c r="I32" s="81" t="n">
        <f aca="false">H32*CHOOSE(D32,'W Programs'!L18,'W Programs'!Q18,'W Programs'!R18)*INDEX('W Assumptions'!$D$17:$F$17,1,D32)</f>
        <v>2709.47368421053</v>
      </c>
      <c r="J32" s="81" t="n">
        <f aca="false">H32*'W Programs'!$M$18*'W Programs'!$O$18</f>
        <v>0</v>
      </c>
      <c r="K32" s="149" t="n">
        <f aca="false">'W Programs'!$N$18</f>
        <v>1</v>
      </c>
      <c r="L32" s="81" t="n">
        <f aca="false">H32*K32</f>
        <v>4926.31578947368</v>
      </c>
      <c r="M32" s="81" t="n">
        <f aca="false">L32*'W Programs'!$M$18*'W Programs'!$O$18</f>
        <v>0</v>
      </c>
      <c r="N32" s="81" t="n">
        <f aca="false">I32*'W Assumptions'!$D$55+I18*(1-'W Assumptions'!$D$55)</f>
        <v>2167.57894736842</v>
      </c>
      <c r="O32" s="81" t="n">
        <f aca="false">H32-I32-J32</f>
        <v>2216.84210526316</v>
      </c>
    </row>
    <row r="33" customFormat="false" ht="21" hidden="false" customHeight="true" outlineLevel="0" collapsed="false">
      <c r="C33" s="144" t="n">
        <f aca="false">46296</f>
        <v>46296</v>
      </c>
      <c r="D33" s="81" t="n">
        <f aca="false">1</f>
        <v>1</v>
      </c>
      <c r="E33" s="81" t="str">
        <f aca="false">'W Programs'!C19</f>
        <v>WOO IP</v>
      </c>
      <c r="F33" s="81" t="str">
        <f aca="false">'W Programs'!D19</f>
        <v>Licensing</v>
      </c>
      <c r="G33" s="145" t="n">
        <f aca="false">INDEX('W Programs'!$F$19:$H$19,1,D33)*INDEX('W Assumptions'!$D$7:$F$7,1,D33)*'W Assumptions'!D96/SUM('W Assumptions'!D$95:D$106)</f>
        <v>0.0171052631578947</v>
      </c>
      <c r="H33" s="81" t="n">
        <f aca="false">G33*INDEX('W Programs'!$I$19:$K$19,1,D33)*INDEX('W Assumptions'!$D$12:$F$12,1,D33)</f>
        <v>1710.52631578947</v>
      </c>
      <c r="I33" s="81" t="n">
        <f aca="false">H33*CHOOSE(D33,'W Programs'!L19,'W Programs'!Q19,'W Programs'!R19)*INDEX('W Assumptions'!$D$17:$F$17,1,D33)</f>
        <v>256.578947368421</v>
      </c>
      <c r="J33" s="81" t="n">
        <f aca="false">H33*'W Programs'!$M$19*'W Programs'!$O$19</f>
        <v>0</v>
      </c>
      <c r="K33" s="149" t="n">
        <f aca="false">'W Programs'!$N$19</f>
        <v>0.3</v>
      </c>
      <c r="L33" s="81" t="n">
        <f aca="false">H33*K33</f>
        <v>513.157894736842</v>
      </c>
      <c r="M33" s="81" t="n">
        <f aca="false">L33*'W Programs'!$M$19*'W Programs'!$O$19</f>
        <v>0</v>
      </c>
      <c r="N33" s="81" t="n">
        <f aca="false">I33*'W Assumptions'!$D$55+I19*(1-'W Assumptions'!$D$55)</f>
        <v>205.263157894737</v>
      </c>
      <c r="O33" s="81" t="n">
        <f aca="false">H33-I33-J33</f>
        <v>1453.94736842105</v>
      </c>
    </row>
    <row r="34" customFormat="false" ht="21" hidden="false" customHeight="true" outlineLevel="0" collapsed="false">
      <c r="C34" s="144" t="n">
        <f aca="false">46327</f>
        <v>46327</v>
      </c>
      <c r="D34" s="81" t="n">
        <f aca="false">1</f>
        <v>1</v>
      </c>
      <c r="E34" s="81" t="str">
        <f aca="false">'W Programs'!C6</f>
        <v>TLI</v>
      </c>
      <c r="F34" s="81" t="str">
        <f aca="false">'W Programs'!D6</f>
        <v>Schools</v>
      </c>
      <c r="G34" s="145" t="n">
        <f aca="false">INDEX('W Programs'!$F$6:$H$6,1,D34)*INDEX('W Assumptions'!$D$7:$F$7,1,D34)*'W Assumptions'!D97/SUM('W Assumptions'!D$95:D$106)</f>
        <v>0.110526315789474</v>
      </c>
      <c r="H34" s="81" t="n">
        <f aca="false">G34*INDEX('W Programs'!$I$6:$K$6,1,D34)*INDEX('W Assumptions'!$D$12:$F$12,1,D34)</f>
        <v>15473.6842105263</v>
      </c>
      <c r="I34" s="81" t="n">
        <f aca="false">H34*CHOOSE(D34,'W Programs'!L6,'W Programs'!Q6,'W Programs'!R6)*INDEX('W Assumptions'!$D$17:$F$17,1,D34)</f>
        <v>6498.94736842105</v>
      </c>
      <c r="J34" s="81" t="n">
        <f aca="false">H34*'W Programs'!$M$6*'W Programs'!$O$6</f>
        <v>0</v>
      </c>
      <c r="K34" s="149" t="n">
        <f aca="false">'W Programs'!$N$6</f>
        <v>0.3</v>
      </c>
      <c r="L34" s="81" t="n">
        <f aca="false">H34*K34+H6*(1-K34)</f>
        <v>4642.10526315789</v>
      </c>
      <c r="M34" s="81" t="n">
        <f aca="false">L34*'W Programs'!$M$6*'W Programs'!$O$6</f>
        <v>0</v>
      </c>
      <c r="N34" s="81" t="n">
        <f aca="false">I34*'W Assumptions'!$D$55+I20*(1-'W Assumptions'!$D$55)</f>
        <v>5849.05263157895</v>
      </c>
      <c r="O34" s="81" t="n">
        <f aca="false">H34-I34-J34</f>
        <v>8974.73684210526</v>
      </c>
    </row>
    <row r="35" customFormat="false" ht="21" hidden="false" customHeight="true" outlineLevel="0" collapsed="false">
      <c r="C35" s="144" t="n">
        <f aca="false">46327</f>
        <v>46327</v>
      </c>
      <c r="D35" s="81" t="n">
        <f aca="false">1</f>
        <v>1</v>
      </c>
      <c r="E35" s="81" t="str">
        <f aca="false">'W Programs'!C7</f>
        <v>TLI</v>
      </c>
      <c r="F35" s="81" t="str">
        <f aca="false">'W Programs'!D7</f>
        <v>Activations</v>
      </c>
      <c r="G35" s="145" t="n">
        <f aca="false">INDEX('W Programs'!$F$7:$H$7,1,D35)*INDEX('W Assumptions'!$D$7:$F$7,1,D35)*'W Assumptions'!D97/SUM('W Assumptions'!D$95:D$106)</f>
        <v>0.147368421052632</v>
      </c>
      <c r="H35" s="81" t="n">
        <f aca="false">G35*INDEX('W Programs'!$I$7:$K$7,1,D35)*INDEX('W Assumptions'!$D$12:$F$12,1,D35)</f>
        <v>9578.94736842105</v>
      </c>
      <c r="I35" s="81" t="n">
        <f aca="false">H35*CHOOSE(D35,'W Programs'!L7,'W Programs'!Q7,'W Programs'!R7)*INDEX('W Assumptions'!$D$17:$F$17,1,D35)</f>
        <v>5268.42105263158</v>
      </c>
      <c r="J35" s="81" t="n">
        <f aca="false">H35*'W Programs'!$M$7*'W Programs'!$O$7</f>
        <v>0</v>
      </c>
      <c r="K35" s="149" t="n">
        <f aca="false">'W Programs'!$N$7</f>
        <v>0.3</v>
      </c>
      <c r="L35" s="81" t="n">
        <f aca="false">H35*K35+H7*(1-K35)</f>
        <v>2873.68421052632</v>
      </c>
      <c r="M35" s="81" t="n">
        <f aca="false">L35*'W Programs'!$M$7*'W Programs'!$O$7</f>
        <v>0</v>
      </c>
      <c r="N35" s="81" t="n">
        <f aca="false">I35*'W Assumptions'!$D$55+I21*(1-'W Assumptions'!$D$55)</f>
        <v>4741.57894736842</v>
      </c>
      <c r="O35" s="81" t="n">
        <f aca="false">H35-I35-J35</f>
        <v>4310.52631578947</v>
      </c>
    </row>
    <row r="36" customFormat="false" ht="21" hidden="false" customHeight="true" outlineLevel="0" collapsed="false">
      <c r="C36" s="144" t="n">
        <f aca="false">46327</f>
        <v>46327</v>
      </c>
      <c r="D36" s="81" t="n">
        <f aca="false">1</f>
        <v>1</v>
      </c>
      <c r="E36" s="81" t="str">
        <f aca="false">'W Programs'!C8</f>
        <v>TLI</v>
      </c>
      <c r="F36" s="81" t="str">
        <f aca="false">'W Programs'!D8</f>
        <v>Workshops</v>
      </c>
      <c r="G36" s="145" t="n">
        <f aca="false">INDEX('W Programs'!$F$8:$H$8,1,D36)*INDEX('W Assumptions'!$D$7:$F$7,1,D36)*'W Assumptions'!D97/SUM('W Assumptions'!D$95:D$106)</f>
        <v>1.65789473684211</v>
      </c>
      <c r="H36" s="81" t="n">
        <f aca="false">G36*INDEX('W Programs'!$I$8:$K$8,1,D36)*INDEX('W Assumptions'!$D$12:$F$12,1,D36)</f>
        <v>6631.57894736842</v>
      </c>
      <c r="I36" s="81" t="n">
        <f aca="false">H36*CHOOSE(D36,'W Programs'!L8,'W Programs'!Q8,'W Programs'!R8)*INDEX('W Assumptions'!$D$17:$F$17,1,D36)</f>
        <v>2984.21052631579</v>
      </c>
      <c r="J36" s="81" t="n">
        <f aca="false">H36*'W Programs'!$M$8*'W Programs'!$O$8</f>
        <v>0</v>
      </c>
      <c r="K36" s="149" t="n">
        <f aca="false">'W Programs'!$N$8</f>
        <v>0.7</v>
      </c>
      <c r="L36" s="81" t="n">
        <f aca="false">H36*K36+H8*(1-K36)</f>
        <v>4642.10526315789</v>
      </c>
      <c r="M36" s="81" t="n">
        <f aca="false">L36*'W Programs'!$M$8*'W Programs'!$O$8</f>
        <v>0</v>
      </c>
      <c r="N36" s="81" t="n">
        <f aca="false">I36*'W Assumptions'!$D$55+I22*(1-'W Assumptions'!$D$55)</f>
        <v>2685.78947368421</v>
      </c>
      <c r="O36" s="81" t="n">
        <f aca="false">H36-I36-J36</f>
        <v>3647.36842105263</v>
      </c>
    </row>
    <row r="37" customFormat="false" ht="21" hidden="false" customHeight="true" outlineLevel="0" collapsed="false">
      <c r="C37" s="144" t="n">
        <f aca="false">46327</f>
        <v>46327</v>
      </c>
      <c r="D37" s="81" t="n">
        <f aca="false">1</f>
        <v>1</v>
      </c>
      <c r="E37" s="81" t="str">
        <f aca="false">'W Programs'!C9</f>
        <v>TLI</v>
      </c>
      <c r="F37" s="81" t="str">
        <f aca="false">'W Programs'!D9</f>
        <v>Installations</v>
      </c>
      <c r="G37" s="145" t="n">
        <f aca="false">INDEX('W Programs'!$F$9:$H$9,1,D37)*INDEX('W Assumptions'!$D$7:$F$7,1,D37)*'W Assumptions'!D97/SUM('W Assumptions'!D$95:D$106)</f>
        <v>0.0184210526315789</v>
      </c>
      <c r="H37" s="81" t="n">
        <f aca="false">G37*INDEX('W Programs'!$I$9:$K$9,1,D37)*INDEX('W Assumptions'!$D$12:$F$12,1,D37)</f>
        <v>4605.26315789474</v>
      </c>
      <c r="I37" s="81" t="n">
        <f aca="false">H37*CHOOSE(D37,'W Programs'!L9,'W Programs'!Q9,'W Programs'!R9)*INDEX('W Assumptions'!$D$17:$F$17,1,D37)</f>
        <v>2993.42105263158</v>
      </c>
      <c r="J37" s="81" t="n">
        <f aca="false">H37*'W Programs'!$M$9*'W Programs'!$O$9</f>
        <v>0</v>
      </c>
      <c r="K37" s="149" t="n">
        <f aca="false">'W Programs'!$N$9</f>
        <v>0.3</v>
      </c>
      <c r="L37" s="81" t="n">
        <f aca="false">H37*K37+H9*(1-K37)</f>
        <v>1381.57894736842</v>
      </c>
      <c r="M37" s="81" t="n">
        <f aca="false">L37*'W Programs'!$M$9*'W Programs'!$O$9</f>
        <v>0</v>
      </c>
      <c r="N37" s="81" t="n">
        <f aca="false">I37*'W Assumptions'!$D$55+I23*(1-'W Assumptions'!$D$55)</f>
        <v>2694.07894736842</v>
      </c>
      <c r="O37" s="81" t="n">
        <f aca="false">H37-I37-J37</f>
        <v>1611.84210526316</v>
      </c>
    </row>
    <row r="38" customFormat="false" ht="21" hidden="false" customHeight="true" outlineLevel="0" collapsed="false">
      <c r="C38" s="144" t="n">
        <f aca="false">46327</f>
        <v>46327</v>
      </c>
      <c r="D38" s="81" t="n">
        <f aca="false">1</f>
        <v>1</v>
      </c>
      <c r="E38" s="81" t="str">
        <f aca="false">'W Programs'!C10</f>
        <v>TLI</v>
      </c>
      <c r="F38" s="81" t="str">
        <f aca="false">'W Programs'!D10</f>
        <v>Digital</v>
      </c>
      <c r="G38" s="145" t="n">
        <f aca="false">INDEX('W Programs'!$F$10:$H$10,1,D38)*INDEX('W Assumptions'!$D$7:$F$7,1,D38)*'W Assumptions'!D97/SUM('W Assumptions'!D$95:D$106)</f>
        <v>7.36842105263158</v>
      </c>
      <c r="H38" s="81" t="n">
        <f aca="false">G38*INDEX('W Programs'!$I$10:$K$10,1,D38)*INDEX('W Assumptions'!$D$12:$F$12,1,D38)</f>
        <v>2578.94736842105</v>
      </c>
      <c r="I38" s="81" t="n">
        <f aca="false">H38*CHOOSE(D38,'W Programs'!L10,'W Programs'!Q10,'W Programs'!R10)*INDEX('W Assumptions'!$D$17:$F$17,1,D38)</f>
        <v>515.789473684211</v>
      </c>
      <c r="J38" s="81" t="n">
        <f aca="false">H38*'W Programs'!$M$10*'W Programs'!$O$10</f>
        <v>0</v>
      </c>
      <c r="K38" s="149" t="n">
        <f aca="false">'W Programs'!$N$10</f>
        <v>1</v>
      </c>
      <c r="L38" s="81" t="n">
        <f aca="false">H38*K38+H10*(1-K38)</f>
        <v>2578.94736842105</v>
      </c>
      <c r="M38" s="81" t="n">
        <f aca="false">L38*'W Programs'!$M$10*'W Programs'!$O$10</f>
        <v>0</v>
      </c>
      <c r="N38" s="81" t="n">
        <f aca="false">I38*'W Assumptions'!$D$55+I24*(1-'W Assumptions'!$D$55)</f>
        <v>464.21052631579</v>
      </c>
      <c r="O38" s="81" t="n">
        <f aca="false">H38-I38-J38</f>
        <v>2063.15789473684</v>
      </c>
    </row>
    <row r="39" customFormat="false" ht="21" hidden="false" customHeight="true" outlineLevel="0" collapsed="false">
      <c r="C39" s="144" t="n">
        <f aca="false">46327</f>
        <v>46327</v>
      </c>
      <c r="D39" s="81" t="n">
        <f aca="false">1</f>
        <v>1</v>
      </c>
      <c r="E39" s="81" t="str">
        <f aca="false">'W Programs'!C11</f>
        <v>TLI</v>
      </c>
      <c r="F39" s="81" t="str">
        <f aca="false">'W Programs'!D11</f>
        <v>Retail</v>
      </c>
      <c r="G39" s="145" t="n">
        <f aca="false">INDEX('W Programs'!$F$11:$H$11,1,D39)*INDEX('W Assumptions'!$D$7:$F$7,1,D39)*'W Assumptions'!D97/SUM('W Assumptions'!D$95:D$106)</f>
        <v>22.1052631578947</v>
      </c>
      <c r="H39" s="81" t="n">
        <f aca="false">G39*INDEX('W Programs'!$I$11:$K$11,1,D39)*INDEX('W Assumptions'!$D$12:$F$12,1,D39)</f>
        <v>5305.26315789474</v>
      </c>
      <c r="I39" s="81" t="n">
        <f aca="false">H39*CHOOSE(D39,'W Programs'!L11,'W Programs'!Q11,'W Programs'!R11)*INDEX('W Assumptions'!$D$17:$F$17,1,D39)</f>
        <v>2917.89473684211</v>
      </c>
      <c r="J39" s="81" t="n">
        <f aca="false">H39*'W Programs'!$M$11*'W Programs'!$O$11</f>
        <v>0</v>
      </c>
      <c r="K39" s="149" t="n">
        <f aca="false">'W Programs'!$N$11</f>
        <v>1</v>
      </c>
      <c r="L39" s="81" t="n">
        <f aca="false">H39*K39+H11*(1-K39)</f>
        <v>5305.26315789474</v>
      </c>
      <c r="M39" s="81" t="n">
        <f aca="false">L39*'W Programs'!$M$11*'W Programs'!$O$11</f>
        <v>0</v>
      </c>
      <c r="N39" s="81" t="n">
        <f aca="false">I39*'W Assumptions'!$D$55+I25*(1-'W Assumptions'!$D$55)</f>
        <v>2626.1052631579</v>
      </c>
      <c r="O39" s="81" t="n">
        <f aca="false">H39-I39-J39</f>
        <v>2387.36842105263</v>
      </c>
    </row>
    <row r="40" customFormat="false" ht="21" hidden="false" customHeight="true" outlineLevel="0" collapsed="false">
      <c r="C40" s="144" t="n">
        <f aca="false">46327</f>
        <v>46327</v>
      </c>
      <c r="D40" s="81" t="n">
        <f aca="false">1</f>
        <v>1</v>
      </c>
      <c r="E40" s="81" t="str">
        <f aca="false">'W Programs'!C12</f>
        <v>TLI</v>
      </c>
      <c r="F40" s="81" t="str">
        <f aca="false">'W Programs'!D12</f>
        <v>Licensing</v>
      </c>
      <c r="G40" s="145" t="n">
        <f aca="false">INDEX('W Programs'!$F$12:$H$12,1,D40)*INDEX('W Assumptions'!$D$7:$F$7,1,D40)*'W Assumptions'!D97/SUM('W Assumptions'!D$95:D$106)</f>
        <v>0.0184210526315789</v>
      </c>
      <c r="H40" s="81" t="n">
        <f aca="false">G40*INDEX('W Programs'!$I$12:$K$12,1,D40)*INDEX('W Assumptions'!$D$12:$F$12,1,D40)</f>
        <v>1842.10526315789</v>
      </c>
      <c r="I40" s="81" t="n">
        <f aca="false">H40*CHOOSE(D40,'W Programs'!L12,'W Programs'!Q12,'W Programs'!R12)*INDEX('W Assumptions'!$D$17:$F$17,1,D40)</f>
        <v>276.315789473684</v>
      </c>
      <c r="J40" s="81" t="n">
        <f aca="false">H40*'W Programs'!$M$12*'W Programs'!$O$12</f>
        <v>0</v>
      </c>
      <c r="K40" s="149" t="n">
        <f aca="false">'W Programs'!$N$12</f>
        <v>0.3</v>
      </c>
      <c r="L40" s="81" t="n">
        <f aca="false">H40*K40+H12*(1-K40)</f>
        <v>552.631578947368</v>
      </c>
      <c r="M40" s="81" t="n">
        <f aca="false">L40*'W Programs'!$M$12*'W Programs'!$O$12</f>
        <v>0</v>
      </c>
      <c r="N40" s="81" t="n">
        <f aca="false">I40*'W Assumptions'!$D$55+I26*(1-'W Assumptions'!$D$55)</f>
        <v>248.684210526316</v>
      </c>
      <c r="O40" s="81" t="n">
        <f aca="false">H40-I40-J40</f>
        <v>1565.78947368421</v>
      </c>
    </row>
    <row r="41" customFormat="false" ht="21" hidden="false" customHeight="true" outlineLevel="0" collapsed="false">
      <c r="C41" s="144" t="n">
        <f aca="false">46327</f>
        <v>46327</v>
      </c>
      <c r="D41" s="81" t="n">
        <f aca="false">1</f>
        <v>1</v>
      </c>
      <c r="E41" s="81" t="str">
        <f aca="false">'W Programs'!C13</f>
        <v>WOO IP</v>
      </c>
      <c r="F41" s="81" t="str">
        <f aca="false">'W Programs'!D13</f>
        <v>Schools</v>
      </c>
      <c r="G41" s="145" t="n">
        <f aca="false">INDEX('W Programs'!$F$13:$H$13,1,D41)*INDEX('W Assumptions'!$D$7:$F$7,1,D41)*'W Assumptions'!D97/SUM('W Assumptions'!D$95:D$106)</f>
        <v>0.205263157894737</v>
      </c>
      <c r="H41" s="81" t="n">
        <f aca="false">G41*INDEX('W Programs'!$I$13:$K$13,1,D41)*INDEX('W Assumptions'!$D$12:$F$12,1,D41)</f>
        <v>28736.8421052632</v>
      </c>
      <c r="I41" s="81" t="n">
        <f aca="false">H41*CHOOSE(D41,'W Programs'!L13,'W Programs'!Q13,'W Programs'!R13)*INDEX('W Assumptions'!$D$17:$F$17,1,D41)</f>
        <v>12069.4736842105</v>
      </c>
      <c r="J41" s="81" t="n">
        <f aca="false">H41*'W Programs'!$M$13*'W Programs'!$O$13</f>
        <v>0</v>
      </c>
      <c r="K41" s="149" t="n">
        <f aca="false">'W Programs'!$N$13</f>
        <v>0.3</v>
      </c>
      <c r="L41" s="81" t="n">
        <f aca="false">H41*K41+H13*(1-K41)</f>
        <v>8621.05263157895</v>
      </c>
      <c r="M41" s="81" t="n">
        <f aca="false">L41*'W Programs'!$M$13*'W Programs'!$O$13</f>
        <v>0</v>
      </c>
      <c r="N41" s="81" t="n">
        <f aca="false">I41*'W Assumptions'!$D$55+I27*(1-'W Assumptions'!$D$55)</f>
        <v>10862.5263157895</v>
      </c>
      <c r="O41" s="81" t="n">
        <f aca="false">H41-I41-J41</f>
        <v>16667.3684210526</v>
      </c>
    </row>
    <row r="42" customFormat="false" ht="21" hidden="false" customHeight="true" outlineLevel="0" collapsed="false">
      <c r="C42" s="144" t="n">
        <f aca="false">46327</f>
        <v>46327</v>
      </c>
      <c r="D42" s="81" t="n">
        <f aca="false">1</f>
        <v>1</v>
      </c>
      <c r="E42" s="81" t="str">
        <f aca="false">'W Programs'!C14</f>
        <v>WOO IP</v>
      </c>
      <c r="F42" s="81" t="str">
        <f aca="false">'W Programs'!D14</f>
        <v>Activations</v>
      </c>
      <c r="G42" s="145" t="n">
        <f aca="false">INDEX('W Programs'!$F$14:$H$14,1,D42)*INDEX('W Assumptions'!$D$7:$F$7,1,D42)*'W Assumptions'!D97/SUM('W Assumptions'!D$95:D$106)</f>
        <v>0.273684210526316</v>
      </c>
      <c r="H42" s="81" t="n">
        <f aca="false">G42*INDEX('W Programs'!$I$14:$K$14,1,D42)*INDEX('W Assumptions'!$D$12:$F$12,1,D42)</f>
        <v>17789.4736842105</v>
      </c>
      <c r="I42" s="81" t="n">
        <f aca="false">H42*CHOOSE(D42,'W Programs'!L14,'W Programs'!Q14,'W Programs'!R14)*INDEX('W Assumptions'!$D$17:$F$17,1,D42)</f>
        <v>9784.21052631579</v>
      </c>
      <c r="J42" s="81" t="n">
        <f aca="false">H42*'W Programs'!$M$14*'W Programs'!$O$14</f>
        <v>0</v>
      </c>
      <c r="K42" s="149" t="n">
        <f aca="false">'W Programs'!$N$14</f>
        <v>0.3</v>
      </c>
      <c r="L42" s="81" t="n">
        <f aca="false">H42*K42+H14*(1-K42)</f>
        <v>5336.84210526316</v>
      </c>
      <c r="M42" s="81" t="n">
        <f aca="false">L42*'W Programs'!$M$14*'W Programs'!$O$14</f>
        <v>0</v>
      </c>
      <c r="N42" s="81" t="n">
        <f aca="false">I42*'W Assumptions'!$D$55+I28*(1-'W Assumptions'!$D$55)</f>
        <v>8805.78947368421</v>
      </c>
      <c r="O42" s="81" t="n">
        <f aca="false">H42-I42-J42</f>
        <v>8005.26315789474</v>
      </c>
    </row>
    <row r="43" customFormat="false" ht="21" hidden="false" customHeight="true" outlineLevel="0" collapsed="false">
      <c r="C43" s="144" t="n">
        <f aca="false">46327</f>
        <v>46327</v>
      </c>
      <c r="D43" s="81" t="n">
        <f aca="false">1</f>
        <v>1</v>
      </c>
      <c r="E43" s="81" t="str">
        <f aca="false">'W Programs'!C15</f>
        <v>WOO IP</v>
      </c>
      <c r="F43" s="81" t="str">
        <f aca="false">'W Programs'!D15</f>
        <v>Workshops</v>
      </c>
      <c r="G43" s="145" t="n">
        <f aca="false">INDEX('W Programs'!$F$15:$H$15,1,D43)*INDEX('W Assumptions'!$D$7:$F$7,1,D43)*'W Assumptions'!D97/SUM('W Assumptions'!D$95:D$106)</f>
        <v>3.07894736842105</v>
      </c>
      <c r="H43" s="81" t="n">
        <f aca="false">G43*INDEX('W Programs'!$I$15:$K$15,1,D43)*INDEX('W Assumptions'!$D$12:$F$12,1,D43)</f>
        <v>12315.7894736842</v>
      </c>
      <c r="I43" s="81" t="n">
        <f aca="false">H43*CHOOSE(D43,'W Programs'!L15,'W Programs'!Q15,'W Programs'!R15)*INDEX('W Assumptions'!$D$17:$F$17,1,D43)</f>
        <v>5542.1052631579</v>
      </c>
      <c r="J43" s="81" t="n">
        <f aca="false">H43*'W Programs'!$M$15*'W Programs'!$O$15</f>
        <v>0</v>
      </c>
      <c r="K43" s="149" t="n">
        <f aca="false">'W Programs'!$N$15</f>
        <v>0.7</v>
      </c>
      <c r="L43" s="81" t="n">
        <f aca="false">H43*K43+H15*(1-K43)</f>
        <v>8621.05263157895</v>
      </c>
      <c r="M43" s="81" t="n">
        <f aca="false">L43*'W Programs'!$M$15*'W Programs'!$O$15</f>
        <v>0</v>
      </c>
      <c r="N43" s="81" t="n">
        <f aca="false">I43*'W Assumptions'!$D$55+I29*(1-'W Assumptions'!$D$55)</f>
        <v>4987.89473684211</v>
      </c>
      <c r="O43" s="81" t="n">
        <f aca="false">H43-I43-J43</f>
        <v>6773.68421052632</v>
      </c>
    </row>
    <row r="44" customFormat="false" ht="21" hidden="false" customHeight="true" outlineLevel="0" collapsed="false">
      <c r="C44" s="144" t="n">
        <f aca="false">46327</f>
        <v>46327</v>
      </c>
      <c r="D44" s="81" t="n">
        <f aca="false">1</f>
        <v>1</v>
      </c>
      <c r="E44" s="81" t="str">
        <f aca="false">'W Programs'!C16</f>
        <v>WOO IP</v>
      </c>
      <c r="F44" s="81" t="str">
        <f aca="false">'W Programs'!D16</f>
        <v>Installations</v>
      </c>
      <c r="G44" s="145" t="n">
        <f aca="false">INDEX('W Programs'!$F$16:$H$16,1,D44)*INDEX('W Assumptions'!$D$7:$F$7,1,D44)*'W Assumptions'!D97/SUM('W Assumptions'!D$95:D$106)</f>
        <v>0.0342105263157895</v>
      </c>
      <c r="H44" s="81" t="n">
        <f aca="false">G44*INDEX('W Programs'!$I$16:$K$16,1,D44)*INDEX('W Assumptions'!$D$12:$F$12,1,D44)</f>
        <v>8552.63157894737</v>
      </c>
      <c r="I44" s="81" t="n">
        <f aca="false">H44*CHOOSE(D44,'W Programs'!L16,'W Programs'!Q16,'W Programs'!R16)*INDEX('W Assumptions'!$D$17:$F$17,1,D44)</f>
        <v>5559.21052631579</v>
      </c>
      <c r="J44" s="81" t="n">
        <f aca="false">H44*'W Programs'!$M$16*'W Programs'!$O$16</f>
        <v>0</v>
      </c>
      <c r="K44" s="149" t="n">
        <f aca="false">'W Programs'!$N$16</f>
        <v>0.3</v>
      </c>
      <c r="L44" s="81" t="n">
        <f aca="false">H44*K44+H16*(1-K44)</f>
        <v>2565.78947368421</v>
      </c>
      <c r="M44" s="81" t="n">
        <f aca="false">L44*'W Programs'!$M$16*'W Programs'!$O$16</f>
        <v>0</v>
      </c>
      <c r="N44" s="81" t="n">
        <f aca="false">I44*'W Assumptions'!$D$55+I30*(1-'W Assumptions'!$D$55)</f>
        <v>5003.28947368421</v>
      </c>
      <c r="O44" s="81" t="n">
        <f aca="false">H44-I44-J44</f>
        <v>2993.42105263158</v>
      </c>
    </row>
    <row r="45" customFormat="false" ht="21" hidden="false" customHeight="true" outlineLevel="0" collapsed="false">
      <c r="C45" s="144" t="n">
        <f aca="false">46327</f>
        <v>46327</v>
      </c>
      <c r="D45" s="81" t="n">
        <f aca="false">1</f>
        <v>1</v>
      </c>
      <c r="E45" s="81" t="str">
        <f aca="false">'W Programs'!C17</f>
        <v>WOO IP</v>
      </c>
      <c r="F45" s="81" t="str">
        <f aca="false">'W Programs'!D17</f>
        <v>Digital</v>
      </c>
      <c r="G45" s="145" t="n">
        <f aca="false">INDEX('W Programs'!$F$17:$H$17,1,D45)*INDEX('W Assumptions'!$D$7:$F$7,1,D45)*'W Assumptions'!D97/SUM('W Assumptions'!D$95:D$106)</f>
        <v>13.6842105263158</v>
      </c>
      <c r="H45" s="81" t="n">
        <f aca="false">G45*INDEX('W Programs'!$I$17:$K$17,1,D45)*INDEX('W Assumptions'!$D$12:$F$12,1,D45)</f>
        <v>4789.47368421053</v>
      </c>
      <c r="I45" s="81" t="n">
        <f aca="false">H45*CHOOSE(D45,'W Programs'!L17,'W Programs'!Q17,'W Programs'!R17)*INDEX('W Assumptions'!$D$17:$F$17,1,D45)</f>
        <v>957.894736842105</v>
      </c>
      <c r="J45" s="81" t="n">
        <f aca="false">H45*'W Programs'!$M$17*'W Programs'!$O$17</f>
        <v>0</v>
      </c>
      <c r="K45" s="149" t="n">
        <f aca="false">'W Programs'!$N$17</f>
        <v>1</v>
      </c>
      <c r="L45" s="81" t="n">
        <f aca="false">H45*K45+H17*(1-K45)</f>
        <v>4789.47368421053</v>
      </c>
      <c r="M45" s="81" t="n">
        <f aca="false">L45*'W Programs'!$M$17*'W Programs'!$O$17</f>
        <v>0</v>
      </c>
      <c r="N45" s="81" t="n">
        <f aca="false">I45*'W Assumptions'!$D$55+I31*(1-'W Assumptions'!$D$55)</f>
        <v>862.105263157895</v>
      </c>
      <c r="O45" s="81" t="n">
        <f aca="false">H45-I45-J45</f>
        <v>3831.57894736842</v>
      </c>
    </row>
    <row r="46" customFormat="false" ht="21" hidden="false" customHeight="true" outlineLevel="0" collapsed="false">
      <c r="C46" s="144" t="n">
        <f aca="false">46327</f>
        <v>46327</v>
      </c>
      <c r="D46" s="81" t="n">
        <f aca="false">1</f>
        <v>1</v>
      </c>
      <c r="E46" s="81" t="str">
        <f aca="false">'W Programs'!C18</f>
        <v>WOO IP</v>
      </c>
      <c r="F46" s="81" t="str">
        <f aca="false">'W Programs'!D18</f>
        <v>Retail</v>
      </c>
      <c r="G46" s="145" t="n">
        <f aca="false">INDEX('W Programs'!$F$18:$H$18,1,D46)*INDEX('W Assumptions'!$D$7:$F$7,1,D46)*'W Assumptions'!D97/SUM('W Assumptions'!D$95:D$106)</f>
        <v>41.0526315789474</v>
      </c>
      <c r="H46" s="81" t="n">
        <f aca="false">G46*INDEX('W Programs'!$I$18:$K$18,1,D46)*INDEX('W Assumptions'!$D$12:$F$12,1,D46)</f>
        <v>9852.63157894737</v>
      </c>
      <c r="I46" s="81" t="n">
        <f aca="false">H46*CHOOSE(D46,'W Programs'!L18,'W Programs'!Q18,'W Programs'!R18)*INDEX('W Assumptions'!$D$17:$F$17,1,D46)</f>
        <v>5418.94736842105</v>
      </c>
      <c r="J46" s="81" t="n">
        <f aca="false">H46*'W Programs'!$M$18*'W Programs'!$O$18</f>
        <v>0</v>
      </c>
      <c r="K46" s="149" t="n">
        <f aca="false">'W Programs'!$N$18</f>
        <v>1</v>
      </c>
      <c r="L46" s="81" t="n">
        <f aca="false">H46*K46+H18*(1-K46)</f>
        <v>9852.63157894737</v>
      </c>
      <c r="M46" s="81" t="n">
        <f aca="false">L46*'W Programs'!$M$18*'W Programs'!$O$18</f>
        <v>0</v>
      </c>
      <c r="N46" s="81" t="n">
        <f aca="false">I46*'W Assumptions'!$D$55+I32*(1-'W Assumptions'!$D$55)</f>
        <v>4877.05263157895</v>
      </c>
      <c r="O46" s="81" t="n">
        <f aca="false">H46-I46-J46</f>
        <v>4433.68421052632</v>
      </c>
    </row>
    <row r="47" customFormat="false" ht="21" hidden="false" customHeight="true" outlineLevel="0" collapsed="false">
      <c r="C47" s="144" t="n">
        <f aca="false">46327</f>
        <v>46327</v>
      </c>
      <c r="D47" s="81" t="n">
        <f aca="false">1</f>
        <v>1</v>
      </c>
      <c r="E47" s="81" t="str">
        <f aca="false">'W Programs'!C19</f>
        <v>WOO IP</v>
      </c>
      <c r="F47" s="81" t="str">
        <f aca="false">'W Programs'!D19</f>
        <v>Licensing</v>
      </c>
      <c r="G47" s="145" t="n">
        <f aca="false">INDEX('W Programs'!$F$19:$H$19,1,D47)*INDEX('W Assumptions'!$D$7:$F$7,1,D47)*'W Assumptions'!D97/SUM('W Assumptions'!D$95:D$106)</f>
        <v>0.0342105263157895</v>
      </c>
      <c r="H47" s="81" t="n">
        <f aca="false">G47*INDEX('W Programs'!$I$19:$K$19,1,D47)*INDEX('W Assumptions'!$D$12:$F$12,1,D47)</f>
        <v>3421.05263157895</v>
      </c>
      <c r="I47" s="81" t="n">
        <f aca="false">H47*CHOOSE(D47,'W Programs'!L19,'W Programs'!Q19,'W Programs'!R19)*INDEX('W Assumptions'!$D$17:$F$17,1,D47)</f>
        <v>513.157894736842</v>
      </c>
      <c r="J47" s="81" t="n">
        <f aca="false">H47*'W Programs'!$M$19*'W Programs'!$O$19</f>
        <v>0</v>
      </c>
      <c r="K47" s="149" t="n">
        <f aca="false">'W Programs'!$N$19</f>
        <v>0.3</v>
      </c>
      <c r="L47" s="81" t="n">
        <f aca="false">H47*K47+H19*(1-K47)</f>
        <v>1026.31578947368</v>
      </c>
      <c r="M47" s="81" t="n">
        <f aca="false">L47*'W Programs'!$M$19*'W Programs'!$O$19</f>
        <v>0</v>
      </c>
      <c r="N47" s="81" t="n">
        <f aca="false">I47*'W Assumptions'!$D$55+I33*(1-'W Assumptions'!$D$55)</f>
        <v>461.842105263158</v>
      </c>
      <c r="O47" s="81" t="n">
        <f aca="false">H47-I47-J47</f>
        <v>2907.89473684211</v>
      </c>
    </row>
    <row r="48" customFormat="false" ht="21" hidden="false" customHeight="true" outlineLevel="0" collapsed="false">
      <c r="C48" s="144" t="n">
        <f aca="false">46357</f>
        <v>46357</v>
      </c>
      <c r="D48" s="81" t="n">
        <f aca="false">1</f>
        <v>1</v>
      </c>
      <c r="E48" s="81" t="str">
        <f aca="false">'W Programs'!C6</f>
        <v>TLI</v>
      </c>
      <c r="F48" s="81" t="str">
        <f aca="false">'W Programs'!D6</f>
        <v>Schools</v>
      </c>
      <c r="G48" s="145" t="n">
        <f aca="false">INDEX('W Programs'!$F$6:$H$6,1,D48)*INDEX('W Assumptions'!$D$7:$F$7,1,D48)*'W Assumptions'!D98/SUM('W Assumptions'!D$95:D$106)</f>
        <v>0.165789473684211</v>
      </c>
      <c r="H48" s="81" t="n">
        <f aca="false">G48*INDEX('W Programs'!$I$6:$K$6,1,D48)*INDEX('W Assumptions'!$D$12:$F$12,1,D48)</f>
        <v>23210.5263157895</v>
      </c>
      <c r="I48" s="81" t="n">
        <f aca="false">H48*CHOOSE(D48,'W Programs'!L6,'W Programs'!Q6,'W Programs'!R6)*INDEX('W Assumptions'!$D$17:$F$17,1,D48)</f>
        <v>9748.42105263158</v>
      </c>
      <c r="J48" s="81" t="n">
        <f aca="false">H48*'W Programs'!$M$6*'W Programs'!$O$6</f>
        <v>0</v>
      </c>
      <c r="K48" s="149" t="n">
        <f aca="false">'W Programs'!$N$6</f>
        <v>0.3</v>
      </c>
      <c r="L48" s="81" t="n">
        <f aca="false">H48*K48+H20*(1-K48)</f>
        <v>12378.9473684211</v>
      </c>
      <c r="M48" s="81" t="n">
        <f aca="false">L48*'W Programs'!$M$6*'W Programs'!$O$6</f>
        <v>0</v>
      </c>
      <c r="N48" s="81" t="n">
        <f aca="false">I48*'W Assumptions'!$D$55+I34*(1-'W Assumptions'!$D$55)</f>
        <v>9098.52631578947</v>
      </c>
      <c r="O48" s="81" t="n">
        <f aca="false">H48-I48-J48</f>
        <v>13462.1052631579</v>
      </c>
    </row>
    <row r="49" customFormat="false" ht="21" hidden="false" customHeight="true" outlineLevel="0" collapsed="false">
      <c r="C49" s="144" t="n">
        <f aca="false">46357</f>
        <v>46357</v>
      </c>
      <c r="D49" s="81" t="n">
        <f aca="false">1</f>
        <v>1</v>
      </c>
      <c r="E49" s="81" t="str">
        <f aca="false">'W Programs'!C7</f>
        <v>TLI</v>
      </c>
      <c r="F49" s="81" t="str">
        <f aca="false">'W Programs'!D7</f>
        <v>Activations</v>
      </c>
      <c r="G49" s="145" t="n">
        <f aca="false">INDEX('W Programs'!$F$7:$H$7,1,D49)*INDEX('W Assumptions'!$D$7:$F$7,1,D49)*'W Assumptions'!D98/SUM('W Assumptions'!D$95:D$106)</f>
        <v>0.221052631578947</v>
      </c>
      <c r="H49" s="81" t="n">
        <f aca="false">G49*INDEX('W Programs'!$I$7:$K$7,1,D49)*INDEX('W Assumptions'!$D$12:$F$12,1,D49)</f>
        <v>14368.4210526316</v>
      </c>
      <c r="I49" s="81" t="n">
        <f aca="false">H49*CHOOSE(D49,'W Programs'!L7,'W Programs'!Q7,'W Programs'!R7)*INDEX('W Assumptions'!$D$17:$F$17,1,D49)</f>
        <v>7902.63157894737</v>
      </c>
      <c r="J49" s="81" t="n">
        <f aca="false">H49*'W Programs'!$M$7*'W Programs'!$O$7</f>
        <v>0</v>
      </c>
      <c r="K49" s="149" t="n">
        <f aca="false">'W Programs'!$N$7</f>
        <v>0.3</v>
      </c>
      <c r="L49" s="81" t="n">
        <f aca="false">H49*K49+H21*(1-K49)</f>
        <v>7663.15789473684</v>
      </c>
      <c r="M49" s="81" t="n">
        <f aca="false">L49*'W Programs'!$M$7*'W Programs'!$O$7</f>
        <v>0</v>
      </c>
      <c r="N49" s="81" t="n">
        <f aca="false">I49*'W Assumptions'!$D$55+I35*(1-'W Assumptions'!$D$55)</f>
        <v>7375.78947368421</v>
      </c>
      <c r="O49" s="81" t="n">
        <f aca="false">H49-I49-J49</f>
        <v>6465.78947368421</v>
      </c>
    </row>
    <row r="50" customFormat="false" ht="21" hidden="false" customHeight="true" outlineLevel="0" collapsed="false">
      <c r="C50" s="144" t="n">
        <f aca="false">46357</f>
        <v>46357</v>
      </c>
      <c r="D50" s="81" t="n">
        <f aca="false">1</f>
        <v>1</v>
      </c>
      <c r="E50" s="81" t="str">
        <f aca="false">'W Programs'!C8</f>
        <v>TLI</v>
      </c>
      <c r="F50" s="81" t="str">
        <f aca="false">'W Programs'!D8</f>
        <v>Workshops</v>
      </c>
      <c r="G50" s="145" t="n">
        <f aca="false">INDEX('W Programs'!$F$8:$H$8,1,D50)*INDEX('W Assumptions'!$D$7:$F$7,1,D50)*'W Assumptions'!D98/SUM('W Assumptions'!D$95:D$106)</f>
        <v>2.48684210526316</v>
      </c>
      <c r="H50" s="81" t="n">
        <f aca="false">G50*INDEX('W Programs'!$I$8:$K$8,1,D50)*INDEX('W Assumptions'!$D$12:$F$12,1,D50)</f>
        <v>9947.36842105263</v>
      </c>
      <c r="I50" s="81" t="n">
        <f aca="false">H50*CHOOSE(D50,'W Programs'!L8,'W Programs'!Q8,'W Programs'!R8)*INDEX('W Assumptions'!$D$17:$F$17,1,D50)</f>
        <v>4476.31578947368</v>
      </c>
      <c r="J50" s="81" t="n">
        <f aca="false">H50*'W Programs'!$M$8*'W Programs'!$O$8</f>
        <v>0</v>
      </c>
      <c r="K50" s="149" t="n">
        <f aca="false">'W Programs'!$N$8</f>
        <v>0.7</v>
      </c>
      <c r="L50" s="81" t="n">
        <f aca="false">H50*K50+H22*(1-K50)</f>
        <v>7957.8947368421</v>
      </c>
      <c r="M50" s="81" t="n">
        <f aca="false">L50*'W Programs'!$M$8*'W Programs'!$O$8</f>
        <v>0</v>
      </c>
      <c r="N50" s="81" t="n">
        <f aca="false">I50*'W Assumptions'!$D$55+I36*(1-'W Assumptions'!$D$55)</f>
        <v>4177.8947368421</v>
      </c>
      <c r="O50" s="81" t="n">
        <f aca="false">H50-I50-J50</f>
        <v>5471.05263157895</v>
      </c>
    </row>
    <row r="51" customFormat="false" ht="21" hidden="false" customHeight="true" outlineLevel="0" collapsed="false">
      <c r="C51" s="144" t="n">
        <f aca="false">46357</f>
        <v>46357</v>
      </c>
      <c r="D51" s="81" t="n">
        <f aca="false">1</f>
        <v>1</v>
      </c>
      <c r="E51" s="81" t="str">
        <f aca="false">'W Programs'!C9</f>
        <v>TLI</v>
      </c>
      <c r="F51" s="81" t="str">
        <f aca="false">'W Programs'!D9</f>
        <v>Installations</v>
      </c>
      <c r="G51" s="145" t="n">
        <f aca="false">INDEX('W Programs'!$F$9:$H$9,1,D51)*INDEX('W Assumptions'!$D$7:$F$7,1,D51)*'W Assumptions'!D98/SUM('W Assumptions'!D$95:D$106)</f>
        <v>0.0276315789473684</v>
      </c>
      <c r="H51" s="81" t="n">
        <f aca="false">G51*INDEX('W Programs'!$I$9:$K$9,1,D51)*INDEX('W Assumptions'!$D$12:$F$12,1,D51)</f>
        <v>6907.8947368421</v>
      </c>
      <c r="I51" s="81" t="n">
        <f aca="false">H51*CHOOSE(D51,'W Programs'!L9,'W Programs'!Q9,'W Programs'!R9)*INDEX('W Assumptions'!$D$17:$F$17,1,D51)</f>
        <v>4490.13157894737</v>
      </c>
      <c r="J51" s="81" t="n">
        <f aca="false">H51*'W Programs'!$M$9*'W Programs'!$O$9</f>
        <v>0</v>
      </c>
      <c r="K51" s="149" t="n">
        <f aca="false">'W Programs'!$N$9</f>
        <v>0.3</v>
      </c>
      <c r="L51" s="81" t="n">
        <f aca="false">H51*K51+H23*(1-K51)</f>
        <v>3684.21052631579</v>
      </c>
      <c r="M51" s="81" t="n">
        <f aca="false">L51*'W Programs'!$M$9*'W Programs'!$O$9</f>
        <v>0</v>
      </c>
      <c r="N51" s="81" t="n">
        <f aca="false">I51*'W Assumptions'!$D$55+I37*(1-'W Assumptions'!$D$55)</f>
        <v>4190.78947368421</v>
      </c>
      <c r="O51" s="81" t="n">
        <f aca="false">H51-I51-J51</f>
        <v>2417.76315789474</v>
      </c>
    </row>
    <row r="52" customFormat="false" ht="21" hidden="false" customHeight="true" outlineLevel="0" collapsed="false">
      <c r="C52" s="144" t="n">
        <f aca="false">46357</f>
        <v>46357</v>
      </c>
      <c r="D52" s="81" t="n">
        <f aca="false">1</f>
        <v>1</v>
      </c>
      <c r="E52" s="81" t="str">
        <f aca="false">'W Programs'!C10</f>
        <v>TLI</v>
      </c>
      <c r="F52" s="81" t="str">
        <f aca="false">'W Programs'!D10</f>
        <v>Digital</v>
      </c>
      <c r="G52" s="145" t="n">
        <f aca="false">INDEX('W Programs'!$F$10:$H$10,1,D52)*INDEX('W Assumptions'!$D$7:$F$7,1,D52)*'W Assumptions'!D98/SUM('W Assumptions'!D$95:D$106)</f>
        <v>11.0526315789474</v>
      </c>
      <c r="H52" s="81" t="n">
        <f aca="false">G52*INDEX('W Programs'!$I$10:$K$10,1,D52)*INDEX('W Assumptions'!$D$12:$F$12,1,D52)</f>
        <v>3868.42105263158</v>
      </c>
      <c r="I52" s="81" t="n">
        <f aca="false">H52*CHOOSE(D52,'W Programs'!L10,'W Programs'!Q10,'W Programs'!R10)*INDEX('W Assumptions'!$D$17:$F$17,1,D52)</f>
        <v>773.684210526316</v>
      </c>
      <c r="J52" s="81" t="n">
        <f aca="false">H52*'W Programs'!$M$10*'W Programs'!$O$10</f>
        <v>0</v>
      </c>
      <c r="K52" s="149" t="n">
        <f aca="false">'W Programs'!$N$10</f>
        <v>1</v>
      </c>
      <c r="L52" s="81" t="n">
        <f aca="false">H52*K52+H24*(1-K52)</f>
        <v>3868.42105263158</v>
      </c>
      <c r="M52" s="81" t="n">
        <f aca="false">L52*'W Programs'!$M$10*'W Programs'!$O$10</f>
        <v>0</v>
      </c>
      <c r="N52" s="81" t="n">
        <f aca="false">I52*'W Assumptions'!$D$55+I38*(1-'W Assumptions'!$D$55)</f>
        <v>722.105263157895</v>
      </c>
      <c r="O52" s="81" t="n">
        <f aca="false">H52-I52-J52</f>
        <v>3094.73684210526</v>
      </c>
    </row>
    <row r="53" customFormat="false" ht="21" hidden="false" customHeight="true" outlineLevel="0" collapsed="false">
      <c r="C53" s="144" t="n">
        <f aca="false">46357</f>
        <v>46357</v>
      </c>
      <c r="D53" s="81" t="n">
        <f aca="false">1</f>
        <v>1</v>
      </c>
      <c r="E53" s="81" t="str">
        <f aca="false">'W Programs'!C11</f>
        <v>TLI</v>
      </c>
      <c r="F53" s="81" t="str">
        <f aca="false">'W Programs'!D11</f>
        <v>Retail</v>
      </c>
      <c r="G53" s="145" t="n">
        <f aca="false">INDEX('W Programs'!$F$11:$H$11,1,D53)*INDEX('W Assumptions'!$D$7:$F$7,1,D53)*'W Assumptions'!D98/SUM('W Assumptions'!D$95:D$106)</f>
        <v>33.1578947368421</v>
      </c>
      <c r="H53" s="81" t="n">
        <f aca="false">G53*INDEX('W Programs'!$I$11:$K$11,1,D53)*INDEX('W Assumptions'!$D$12:$F$12,1,D53)</f>
        <v>7957.89473684211</v>
      </c>
      <c r="I53" s="81" t="n">
        <f aca="false">H53*CHOOSE(D53,'W Programs'!L11,'W Programs'!Q11,'W Programs'!R11)*INDEX('W Assumptions'!$D$17:$F$17,1,D53)</f>
        <v>4376.84210526316</v>
      </c>
      <c r="J53" s="81" t="n">
        <f aca="false">H53*'W Programs'!$M$11*'W Programs'!$O$11</f>
        <v>0</v>
      </c>
      <c r="K53" s="149" t="n">
        <f aca="false">'W Programs'!$N$11</f>
        <v>1</v>
      </c>
      <c r="L53" s="81" t="n">
        <f aca="false">H53*K53+H25*(1-K53)</f>
        <v>7957.89473684211</v>
      </c>
      <c r="M53" s="81" t="n">
        <f aca="false">L53*'W Programs'!$M$11*'W Programs'!$O$11</f>
        <v>0</v>
      </c>
      <c r="N53" s="81" t="n">
        <f aca="false">I53*'W Assumptions'!$D$55+I39*(1-'W Assumptions'!$D$55)</f>
        <v>4085.05263157895</v>
      </c>
      <c r="O53" s="81" t="n">
        <f aca="false">H53-I53-J53</f>
        <v>3581.05263157895</v>
      </c>
    </row>
    <row r="54" customFormat="false" ht="21" hidden="false" customHeight="true" outlineLevel="0" collapsed="false">
      <c r="C54" s="144" t="n">
        <f aca="false">46357</f>
        <v>46357</v>
      </c>
      <c r="D54" s="81" t="n">
        <f aca="false">1</f>
        <v>1</v>
      </c>
      <c r="E54" s="81" t="str">
        <f aca="false">'W Programs'!C12</f>
        <v>TLI</v>
      </c>
      <c r="F54" s="81" t="str">
        <f aca="false">'W Programs'!D12</f>
        <v>Licensing</v>
      </c>
      <c r="G54" s="145" t="n">
        <f aca="false">INDEX('W Programs'!$F$12:$H$12,1,D54)*INDEX('W Assumptions'!$D$7:$F$7,1,D54)*'W Assumptions'!D98/SUM('W Assumptions'!D$95:D$106)</f>
        <v>0.0276315789473684</v>
      </c>
      <c r="H54" s="81" t="n">
        <f aca="false">G54*INDEX('W Programs'!$I$12:$K$12,1,D54)*INDEX('W Assumptions'!$D$12:$F$12,1,D54)</f>
        <v>2763.15789473684</v>
      </c>
      <c r="I54" s="81" t="n">
        <f aca="false">H54*CHOOSE(D54,'W Programs'!L12,'W Programs'!Q12,'W Programs'!R12)*INDEX('W Assumptions'!$D$17:$F$17,1,D54)</f>
        <v>414.473684210526</v>
      </c>
      <c r="J54" s="81" t="n">
        <f aca="false">H54*'W Programs'!$M$12*'W Programs'!$O$12</f>
        <v>0</v>
      </c>
      <c r="K54" s="149" t="n">
        <f aca="false">'W Programs'!$N$12</f>
        <v>0.3</v>
      </c>
      <c r="L54" s="81" t="n">
        <f aca="false">H54*K54+H26*(1-K54)</f>
        <v>1473.68421052632</v>
      </c>
      <c r="M54" s="81" t="n">
        <f aca="false">L54*'W Programs'!$M$12*'W Programs'!$O$12</f>
        <v>0</v>
      </c>
      <c r="N54" s="81" t="n">
        <f aca="false">I54*'W Assumptions'!$D$55+I40*(1-'W Assumptions'!$D$55)</f>
        <v>386.842105263158</v>
      </c>
      <c r="O54" s="81" t="n">
        <f aca="false">H54-I54-J54</f>
        <v>2348.68421052632</v>
      </c>
    </row>
    <row r="55" customFormat="false" ht="21" hidden="false" customHeight="true" outlineLevel="0" collapsed="false">
      <c r="C55" s="144" t="n">
        <f aca="false">46357</f>
        <v>46357</v>
      </c>
      <c r="D55" s="81" t="n">
        <f aca="false">1</f>
        <v>1</v>
      </c>
      <c r="E55" s="81" t="str">
        <f aca="false">'W Programs'!C13</f>
        <v>WOO IP</v>
      </c>
      <c r="F55" s="81" t="str">
        <f aca="false">'W Programs'!D13</f>
        <v>Schools</v>
      </c>
      <c r="G55" s="145" t="n">
        <f aca="false">INDEX('W Programs'!$F$13:$H$13,1,D55)*INDEX('W Assumptions'!$D$7:$F$7,1,D55)*'W Assumptions'!D98/SUM('W Assumptions'!D$95:D$106)</f>
        <v>0.307894736842105</v>
      </c>
      <c r="H55" s="81" t="n">
        <f aca="false">G55*INDEX('W Programs'!$I$13:$K$13,1,D55)*INDEX('W Assumptions'!$D$12:$F$12,1,D55)</f>
        <v>43105.2631578947</v>
      </c>
      <c r="I55" s="81" t="n">
        <f aca="false">H55*CHOOSE(D55,'W Programs'!L13,'W Programs'!Q13,'W Programs'!R13)*INDEX('W Assumptions'!$D$17:$F$17,1,D55)</f>
        <v>18104.2105263158</v>
      </c>
      <c r="J55" s="81" t="n">
        <f aca="false">H55*'W Programs'!$M$13*'W Programs'!$O$13</f>
        <v>0</v>
      </c>
      <c r="K55" s="149" t="n">
        <f aca="false">'W Programs'!$N$13</f>
        <v>0.3</v>
      </c>
      <c r="L55" s="81" t="n">
        <f aca="false">H55*K55+H27*(1-K55)</f>
        <v>22989.4736842105</v>
      </c>
      <c r="M55" s="81" t="n">
        <f aca="false">L55*'W Programs'!$M$13*'W Programs'!$O$13</f>
        <v>0</v>
      </c>
      <c r="N55" s="81" t="n">
        <f aca="false">I55*'W Assumptions'!$D$55+I41*(1-'W Assumptions'!$D$55)</f>
        <v>16897.2631578947</v>
      </c>
      <c r="O55" s="81" t="n">
        <f aca="false">H55-I55-J55</f>
        <v>25001.052631579</v>
      </c>
    </row>
    <row r="56" customFormat="false" ht="21" hidden="false" customHeight="true" outlineLevel="0" collapsed="false">
      <c r="C56" s="144" t="n">
        <f aca="false">46357</f>
        <v>46357</v>
      </c>
      <c r="D56" s="81" t="n">
        <f aca="false">1</f>
        <v>1</v>
      </c>
      <c r="E56" s="81" t="str">
        <f aca="false">'W Programs'!C14</f>
        <v>WOO IP</v>
      </c>
      <c r="F56" s="81" t="str">
        <f aca="false">'W Programs'!D14</f>
        <v>Activations</v>
      </c>
      <c r="G56" s="145" t="n">
        <f aca="false">INDEX('W Programs'!$F$14:$H$14,1,D56)*INDEX('W Assumptions'!$D$7:$F$7,1,D56)*'W Assumptions'!D98/SUM('W Assumptions'!D$95:D$106)</f>
        <v>0.410526315789474</v>
      </c>
      <c r="H56" s="81" t="n">
        <f aca="false">G56*INDEX('W Programs'!$I$14:$K$14,1,D56)*INDEX('W Assumptions'!$D$12:$F$12,1,D56)</f>
        <v>26684.2105263158</v>
      </c>
      <c r="I56" s="81" t="n">
        <f aca="false">H56*CHOOSE(D56,'W Programs'!L14,'W Programs'!Q14,'W Programs'!R14)*INDEX('W Assumptions'!$D$17:$F$17,1,D56)</f>
        <v>14676.3157894737</v>
      </c>
      <c r="J56" s="81" t="n">
        <f aca="false">H56*'W Programs'!$M$14*'W Programs'!$O$14</f>
        <v>0</v>
      </c>
      <c r="K56" s="149" t="n">
        <f aca="false">'W Programs'!$N$14</f>
        <v>0.3</v>
      </c>
      <c r="L56" s="81" t="n">
        <f aca="false">H56*K56+H28*(1-K56)</f>
        <v>14231.5789473684</v>
      </c>
      <c r="M56" s="81" t="n">
        <f aca="false">L56*'W Programs'!$M$14*'W Programs'!$O$14</f>
        <v>0</v>
      </c>
      <c r="N56" s="81" t="n">
        <f aca="false">I56*'W Assumptions'!$D$55+I42*(1-'W Assumptions'!$D$55)</f>
        <v>13697.8947368421</v>
      </c>
      <c r="O56" s="81" t="n">
        <f aca="false">H56-I56-J56</f>
        <v>12007.8947368421</v>
      </c>
    </row>
    <row r="57" customFormat="false" ht="21" hidden="false" customHeight="true" outlineLevel="0" collapsed="false">
      <c r="C57" s="144" t="n">
        <f aca="false">46357</f>
        <v>46357</v>
      </c>
      <c r="D57" s="81" t="n">
        <f aca="false">1</f>
        <v>1</v>
      </c>
      <c r="E57" s="81" t="str">
        <f aca="false">'W Programs'!C15</f>
        <v>WOO IP</v>
      </c>
      <c r="F57" s="81" t="str">
        <f aca="false">'W Programs'!D15</f>
        <v>Workshops</v>
      </c>
      <c r="G57" s="145" t="n">
        <f aca="false">INDEX('W Programs'!$F$15:$H$15,1,D57)*INDEX('W Assumptions'!$D$7:$F$7,1,D57)*'W Assumptions'!D98/SUM('W Assumptions'!D$95:D$106)</f>
        <v>4.61842105263158</v>
      </c>
      <c r="H57" s="81" t="n">
        <f aca="false">G57*INDEX('W Programs'!$I$15:$K$15,1,D57)*INDEX('W Assumptions'!$D$12:$F$12,1,D57)</f>
        <v>18473.6842105263</v>
      </c>
      <c r="I57" s="81" t="n">
        <f aca="false">H57*CHOOSE(D57,'W Programs'!L15,'W Programs'!Q15,'W Programs'!R15)*INDEX('W Assumptions'!$D$17:$F$17,1,D57)</f>
        <v>8313.15789473684</v>
      </c>
      <c r="J57" s="81" t="n">
        <f aca="false">H57*'W Programs'!$M$15*'W Programs'!$O$15</f>
        <v>0</v>
      </c>
      <c r="K57" s="149" t="n">
        <f aca="false">'W Programs'!$N$15</f>
        <v>0.7</v>
      </c>
      <c r="L57" s="81" t="n">
        <f aca="false">H57*K57+H29*(1-K57)</f>
        <v>14778.9473684211</v>
      </c>
      <c r="M57" s="81" t="n">
        <f aca="false">L57*'W Programs'!$M$15*'W Programs'!$O$15</f>
        <v>0</v>
      </c>
      <c r="N57" s="81" t="n">
        <f aca="false">I57*'W Assumptions'!$D$55+I43*(1-'W Assumptions'!$D$55)</f>
        <v>7758.94736842105</v>
      </c>
      <c r="O57" s="81" t="n">
        <f aca="false">H57-I57-J57</f>
        <v>10160.5263157895</v>
      </c>
    </row>
    <row r="58" customFormat="false" ht="21" hidden="false" customHeight="true" outlineLevel="0" collapsed="false">
      <c r="C58" s="144" t="n">
        <f aca="false">46357</f>
        <v>46357</v>
      </c>
      <c r="D58" s="81" t="n">
        <f aca="false">1</f>
        <v>1</v>
      </c>
      <c r="E58" s="81" t="str">
        <f aca="false">'W Programs'!C16</f>
        <v>WOO IP</v>
      </c>
      <c r="F58" s="81" t="str">
        <f aca="false">'W Programs'!D16</f>
        <v>Installations</v>
      </c>
      <c r="G58" s="145" t="n">
        <f aca="false">INDEX('W Programs'!$F$16:$H$16,1,D58)*INDEX('W Assumptions'!$D$7:$F$7,1,D58)*'W Assumptions'!D98/SUM('W Assumptions'!D$95:D$106)</f>
        <v>0.0513157894736842</v>
      </c>
      <c r="H58" s="81" t="n">
        <f aca="false">G58*INDEX('W Programs'!$I$16:$K$16,1,D58)*INDEX('W Assumptions'!$D$12:$F$12,1,D58)</f>
        <v>12828.9473684211</v>
      </c>
      <c r="I58" s="81" t="n">
        <f aca="false">H58*CHOOSE(D58,'W Programs'!L16,'W Programs'!Q16,'W Programs'!R16)*INDEX('W Assumptions'!$D$17:$F$17,1,D58)</f>
        <v>8338.81578947369</v>
      </c>
      <c r="J58" s="81" t="n">
        <f aca="false">H58*'W Programs'!$M$16*'W Programs'!$O$16</f>
        <v>0</v>
      </c>
      <c r="K58" s="149" t="n">
        <f aca="false">'W Programs'!$N$16</f>
        <v>0.3</v>
      </c>
      <c r="L58" s="81" t="n">
        <f aca="false">H58*K58+H30*(1-K58)</f>
        <v>6842.1052631579</v>
      </c>
      <c r="M58" s="81" t="n">
        <f aca="false">L58*'W Programs'!$M$16*'W Programs'!$O$16</f>
        <v>0</v>
      </c>
      <c r="N58" s="81" t="n">
        <f aca="false">I58*'W Assumptions'!$D$55+I44*(1-'W Assumptions'!$D$55)</f>
        <v>7782.89473684211</v>
      </c>
      <c r="O58" s="81" t="n">
        <f aca="false">H58-I58-J58</f>
        <v>4490.13157894737</v>
      </c>
    </row>
    <row r="59" customFormat="false" ht="21" hidden="false" customHeight="true" outlineLevel="0" collapsed="false">
      <c r="C59" s="144" t="n">
        <f aca="false">46357</f>
        <v>46357</v>
      </c>
      <c r="D59" s="81" t="n">
        <f aca="false">1</f>
        <v>1</v>
      </c>
      <c r="E59" s="81" t="str">
        <f aca="false">'W Programs'!C17</f>
        <v>WOO IP</v>
      </c>
      <c r="F59" s="81" t="str">
        <f aca="false">'W Programs'!D17</f>
        <v>Digital</v>
      </c>
      <c r="G59" s="145" t="n">
        <f aca="false">INDEX('W Programs'!$F$17:$H$17,1,D59)*INDEX('W Assumptions'!$D$7:$F$7,1,D59)*'W Assumptions'!D98/SUM('W Assumptions'!D$95:D$106)</f>
        <v>20.5263157894737</v>
      </c>
      <c r="H59" s="81" t="n">
        <f aca="false">G59*INDEX('W Programs'!$I$17:$K$17,1,D59)*INDEX('W Assumptions'!$D$12:$F$12,1,D59)</f>
        <v>7184.21052631579</v>
      </c>
      <c r="I59" s="81" t="n">
        <f aca="false">H59*CHOOSE(D59,'W Programs'!L17,'W Programs'!Q17,'W Programs'!R17)*INDEX('W Assumptions'!$D$17:$F$17,1,D59)</f>
        <v>1436.84210526316</v>
      </c>
      <c r="J59" s="81" t="n">
        <f aca="false">H59*'W Programs'!$M$17*'W Programs'!$O$17</f>
        <v>0</v>
      </c>
      <c r="K59" s="149" t="n">
        <f aca="false">'W Programs'!$N$17</f>
        <v>1</v>
      </c>
      <c r="L59" s="81" t="n">
        <f aca="false">H59*K59+H31*(1-K59)</f>
        <v>7184.21052631579</v>
      </c>
      <c r="M59" s="81" t="n">
        <f aca="false">L59*'W Programs'!$M$17*'W Programs'!$O$17</f>
        <v>0</v>
      </c>
      <c r="N59" s="81" t="n">
        <f aca="false">I59*'W Assumptions'!$D$55+I45*(1-'W Assumptions'!$D$55)</f>
        <v>1341.05263157895</v>
      </c>
      <c r="O59" s="81" t="n">
        <f aca="false">H59-I59-J59</f>
        <v>5747.36842105263</v>
      </c>
    </row>
    <row r="60" customFormat="false" ht="21" hidden="false" customHeight="true" outlineLevel="0" collapsed="false">
      <c r="C60" s="144" t="n">
        <f aca="false">46357</f>
        <v>46357</v>
      </c>
      <c r="D60" s="81" t="n">
        <f aca="false">1</f>
        <v>1</v>
      </c>
      <c r="E60" s="81" t="str">
        <f aca="false">'W Programs'!C18</f>
        <v>WOO IP</v>
      </c>
      <c r="F60" s="81" t="str">
        <f aca="false">'W Programs'!D18</f>
        <v>Retail</v>
      </c>
      <c r="G60" s="145" t="n">
        <f aca="false">INDEX('W Programs'!$F$18:$H$18,1,D60)*INDEX('W Assumptions'!$D$7:$F$7,1,D60)*'W Assumptions'!D98/SUM('W Assumptions'!D$95:D$106)</f>
        <v>61.5789473684211</v>
      </c>
      <c r="H60" s="81" t="n">
        <f aca="false">G60*INDEX('W Programs'!$I$18:$K$18,1,D60)*INDEX('W Assumptions'!$D$12:$F$12,1,D60)</f>
        <v>14778.9473684211</v>
      </c>
      <c r="I60" s="81" t="n">
        <f aca="false">H60*CHOOSE(D60,'W Programs'!L18,'W Programs'!Q18,'W Programs'!R18)*INDEX('W Assumptions'!$D$17:$F$17,1,D60)</f>
        <v>8128.42105263158</v>
      </c>
      <c r="J60" s="81" t="n">
        <f aca="false">H60*'W Programs'!$M$18*'W Programs'!$O$18</f>
        <v>0</v>
      </c>
      <c r="K60" s="149" t="n">
        <f aca="false">'W Programs'!$N$18</f>
        <v>1</v>
      </c>
      <c r="L60" s="81" t="n">
        <f aca="false">H60*K60+H32*(1-K60)</f>
        <v>14778.9473684211</v>
      </c>
      <c r="M60" s="81" t="n">
        <f aca="false">L60*'W Programs'!$M$18*'W Programs'!$O$18</f>
        <v>0</v>
      </c>
      <c r="N60" s="81" t="n">
        <f aca="false">I60*'W Assumptions'!$D$55+I46*(1-'W Assumptions'!$D$55)</f>
        <v>7586.52631578948</v>
      </c>
      <c r="O60" s="81" t="n">
        <f aca="false">H60-I60-J60</f>
        <v>6650.52631578947</v>
      </c>
    </row>
    <row r="61" customFormat="false" ht="21" hidden="false" customHeight="true" outlineLevel="0" collapsed="false">
      <c r="C61" s="144" t="n">
        <f aca="false">46357</f>
        <v>46357</v>
      </c>
      <c r="D61" s="81" t="n">
        <f aca="false">1</f>
        <v>1</v>
      </c>
      <c r="E61" s="81" t="str">
        <f aca="false">'W Programs'!C19</f>
        <v>WOO IP</v>
      </c>
      <c r="F61" s="81" t="str">
        <f aca="false">'W Programs'!D19</f>
        <v>Licensing</v>
      </c>
      <c r="G61" s="145" t="n">
        <f aca="false">INDEX('W Programs'!$F$19:$H$19,1,D61)*INDEX('W Assumptions'!$D$7:$F$7,1,D61)*'W Assumptions'!D98/SUM('W Assumptions'!D$95:D$106)</f>
        <v>0.0513157894736842</v>
      </c>
      <c r="H61" s="81" t="n">
        <f aca="false">G61*INDEX('W Programs'!$I$19:$K$19,1,D61)*INDEX('W Assumptions'!$D$12:$F$12,1,D61)</f>
        <v>5131.57894736842</v>
      </c>
      <c r="I61" s="81" t="n">
        <f aca="false">H61*CHOOSE(D61,'W Programs'!L19,'W Programs'!Q19,'W Programs'!R19)*INDEX('W Assumptions'!$D$17:$F$17,1,D61)</f>
        <v>769.736842105263</v>
      </c>
      <c r="J61" s="81" t="n">
        <f aca="false">H61*'W Programs'!$M$19*'W Programs'!$O$19</f>
        <v>0</v>
      </c>
      <c r="K61" s="149" t="n">
        <f aca="false">'W Programs'!$N$19</f>
        <v>0.3</v>
      </c>
      <c r="L61" s="81" t="n">
        <f aca="false">H61*K61+H33*(1-K61)</f>
        <v>2736.84210526316</v>
      </c>
      <c r="M61" s="81" t="n">
        <f aca="false">L61*'W Programs'!$M$19*'W Programs'!$O$19</f>
        <v>0</v>
      </c>
      <c r="N61" s="81" t="n">
        <f aca="false">I61*'W Assumptions'!$D$55+I47*(1-'W Assumptions'!$D$55)</f>
        <v>718.421052631579</v>
      </c>
      <c r="O61" s="81" t="n">
        <f aca="false">H61-I61-J61</f>
        <v>4361.84210526316</v>
      </c>
    </row>
    <row r="62" customFormat="false" ht="21" hidden="false" customHeight="true" outlineLevel="0" collapsed="false">
      <c r="C62" s="144" t="n">
        <f aca="false">46388</f>
        <v>46388</v>
      </c>
      <c r="D62" s="81" t="n">
        <f aca="false">1</f>
        <v>1</v>
      </c>
      <c r="E62" s="81" t="str">
        <f aca="false">'W Programs'!C6</f>
        <v>TLI</v>
      </c>
      <c r="F62" s="81" t="str">
        <f aca="false">'W Programs'!D6</f>
        <v>Schools</v>
      </c>
      <c r="G62" s="145" t="n">
        <f aca="false">INDEX('W Programs'!$F$6:$H$6,1,D62)*INDEX('W Assumptions'!$D$7:$F$7,1,D62)*'W Assumptions'!D99/SUM('W Assumptions'!D$95:D$106)</f>
        <v>0.221052631578947</v>
      </c>
      <c r="H62" s="81" t="n">
        <f aca="false">G62*INDEX('W Programs'!$I$6:$K$6,1,D62)*INDEX('W Assumptions'!$D$12:$F$12,1,D62)</f>
        <v>30947.3684210526</v>
      </c>
      <c r="I62" s="81" t="n">
        <f aca="false">H62*CHOOSE(D62,'W Programs'!L6,'W Programs'!Q6,'W Programs'!R6)*INDEX('W Assumptions'!$D$17:$F$17,1,D62)</f>
        <v>12997.8947368421</v>
      </c>
      <c r="J62" s="81" t="n">
        <f aca="false">H62*'W Programs'!$M$6*'W Programs'!$O$6</f>
        <v>0</v>
      </c>
      <c r="K62" s="149" t="n">
        <f aca="false">'W Programs'!$N$6</f>
        <v>0.3</v>
      </c>
      <c r="L62" s="81" t="n">
        <f aca="false">H62*K62+H34*(1-K62)</f>
        <v>20115.7894736842</v>
      </c>
      <c r="M62" s="81" t="n">
        <f aca="false">L62*'W Programs'!$M$6*'W Programs'!$O$6</f>
        <v>0</v>
      </c>
      <c r="N62" s="81" t="n">
        <f aca="false">I62*'W Assumptions'!$D$55+I48*(1-'W Assumptions'!$D$55)</f>
        <v>12348</v>
      </c>
      <c r="O62" s="81" t="n">
        <f aca="false">H62-I62-J62</f>
        <v>17949.4736842105</v>
      </c>
    </row>
    <row r="63" customFormat="false" ht="21" hidden="false" customHeight="true" outlineLevel="0" collapsed="false">
      <c r="C63" s="144" t="n">
        <f aca="false">46388</f>
        <v>46388</v>
      </c>
      <c r="D63" s="81" t="n">
        <f aca="false">1</f>
        <v>1</v>
      </c>
      <c r="E63" s="81" t="str">
        <f aca="false">'W Programs'!C7</f>
        <v>TLI</v>
      </c>
      <c r="F63" s="81" t="str">
        <f aca="false">'W Programs'!D7</f>
        <v>Activations</v>
      </c>
      <c r="G63" s="145" t="n">
        <f aca="false">INDEX('W Programs'!$F$7:$H$7,1,D63)*INDEX('W Assumptions'!$D$7:$F$7,1,D63)*'W Assumptions'!D99/SUM('W Assumptions'!D$95:D$106)</f>
        <v>0.294736842105263</v>
      </c>
      <c r="H63" s="81" t="n">
        <f aca="false">G63*INDEX('W Programs'!$I$7:$K$7,1,D63)*INDEX('W Assumptions'!$D$12:$F$12,1,D63)</f>
        <v>19157.8947368421</v>
      </c>
      <c r="I63" s="81" t="n">
        <f aca="false">H63*CHOOSE(D63,'W Programs'!L7,'W Programs'!Q7,'W Programs'!R7)*INDEX('W Assumptions'!$D$17:$F$17,1,D63)</f>
        <v>10536.8421052632</v>
      </c>
      <c r="J63" s="81" t="n">
        <f aca="false">H63*'W Programs'!$M$7*'W Programs'!$O$7</f>
        <v>0</v>
      </c>
      <c r="K63" s="149" t="n">
        <f aca="false">'W Programs'!$N$7</f>
        <v>0.3</v>
      </c>
      <c r="L63" s="81" t="n">
        <f aca="false">H63*K63+H35*(1-K63)</f>
        <v>12452.6315789474</v>
      </c>
      <c r="M63" s="81" t="n">
        <f aca="false">L63*'W Programs'!$M$7*'W Programs'!$O$7</f>
        <v>0</v>
      </c>
      <c r="N63" s="81" t="n">
        <f aca="false">I63*'W Assumptions'!$D$55+I49*(1-'W Assumptions'!$D$55)</f>
        <v>10010</v>
      </c>
      <c r="O63" s="81" t="n">
        <f aca="false">H63-I63-J63</f>
        <v>8621.05263157895</v>
      </c>
    </row>
    <row r="64" customFormat="false" ht="21" hidden="false" customHeight="true" outlineLevel="0" collapsed="false">
      <c r="C64" s="144" t="n">
        <f aca="false">46388</f>
        <v>46388</v>
      </c>
      <c r="D64" s="81" t="n">
        <f aca="false">1</f>
        <v>1</v>
      </c>
      <c r="E64" s="81" t="str">
        <f aca="false">'W Programs'!C8</f>
        <v>TLI</v>
      </c>
      <c r="F64" s="81" t="str">
        <f aca="false">'W Programs'!D8</f>
        <v>Workshops</v>
      </c>
      <c r="G64" s="145" t="n">
        <f aca="false">INDEX('W Programs'!$F$8:$H$8,1,D64)*INDEX('W Assumptions'!$D$7:$F$7,1,D64)*'W Assumptions'!D99/SUM('W Assumptions'!D$95:D$106)</f>
        <v>3.31578947368421</v>
      </c>
      <c r="H64" s="81" t="n">
        <f aca="false">G64*INDEX('W Programs'!$I$8:$K$8,1,D64)*INDEX('W Assumptions'!$D$12:$F$12,1,D64)</f>
        <v>13263.1578947368</v>
      </c>
      <c r="I64" s="81" t="n">
        <f aca="false">H64*CHOOSE(D64,'W Programs'!L8,'W Programs'!Q8,'W Programs'!R8)*INDEX('W Assumptions'!$D$17:$F$17,1,D64)</f>
        <v>5968.42105263158</v>
      </c>
      <c r="J64" s="81" t="n">
        <f aca="false">H64*'W Programs'!$M$8*'W Programs'!$O$8</f>
        <v>0</v>
      </c>
      <c r="K64" s="149" t="n">
        <f aca="false">'W Programs'!$N$8</f>
        <v>0.7</v>
      </c>
      <c r="L64" s="81" t="n">
        <f aca="false">H64*K64+H36*(1-K64)</f>
        <v>11273.6842105263</v>
      </c>
      <c r="M64" s="81" t="n">
        <f aca="false">L64*'W Programs'!$M$8*'W Programs'!$O$8</f>
        <v>0</v>
      </c>
      <c r="N64" s="81" t="n">
        <f aca="false">I64*'W Assumptions'!$D$55+I50*(1-'W Assumptions'!$D$55)</f>
        <v>5670</v>
      </c>
      <c r="O64" s="81" t="n">
        <f aca="false">H64-I64-J64</f>
        <v>7294.73684210526</v>
      </c>
    </row>
    <row r="65" customFormat="false" ht="21" hidden="false" customHeight="true" outlineLevel="0" collapsed="false">
      <c r="C65" s="144" t="n">
        <f aca="false">46388</f>
        <v>46388</v>
      </c>
      <c r="D65" s="81" t="n">
        <f aca="false">1</f>
        <v>1</v>
      </c>
      <c r="E65" s="81" t="str">
        <f aca="false">'W Programs'!C9</f>
        <v>TLI</v>
      </c>
      <c r="F65" s="81" t="str">
        <f aca="false">'W Programs'!D9</f>
        <v>Installations</v>
      </c>
      <c r="G65" s="145" t="n">
        <f aca="false">INDEX('W Programs'!$F$9:$H$9,1,D65)*INDEX('W Assumptions'!$D$7:$F$7,1,D65)*'W Assumptions'!D99/SUM('W Assumptions'!D$95:D$106)</f>
        <v>0.0368421052631579</v>
      </c>
      <c r="H65" s="81" t="n">
        <f aca="false">G65*INDEX('W Programs'!$I$9:$K$9,1,D65)*INDEX('W Assumptions'!$D$12:$F$12,1,D65)</f>
        <v>9210.52631578947</v>
      </c>
      <c r="I65" s="81" t="n">
        <f aca="false">H65*CHOOSE(D65,'W Programs'!L9,'W Programs'!Q9,'W Programs'!R9)*INDEX('W Assumptions'!$D$17:$F$17,1,D65)</f>
        <v>5986.84210526316</v>
      </c>
      <c r="J65" s="81" t="n">
        <f aca="false">H65*'W Programs'!$M$9*'W Programs'!$O$9</f>
        <v>0</v>
      </c>
      <c r="K65" s="149" t="n">
        <f aca="false">'W Programs'!$N$9</f>
        <v>0.3</v>
      </c>
      <c r="L65" s="81" t="n">
        <f aca="false">H65*K65+H37*(1-K65)</f>
        <v>5986.84210526316</v>
      </c>
      <c r="M65" s="81" t="n">
        <f aca="false">L65*'W Programs'!$M$9*'W Programs'!$O$9</f>
        <v>0</v>
      </c>
      <c r="N65" s="81" t="n">
        <f aca="false">I65*'W Assumptions'!$D$55+I51*(1-'W Assumptions'!$D$55)</f>
        <v>5687.5</v>
      </c>
      <c r="O65" s="81" t="n">
        <f aca="false">H65-I65-J65</f>
        <v>3223.68421052632</v>
      </c>
    </row>
    <row r="66" customFormat="false" ht="21" hidden="false" customHeight="true" outlineLevel="0" collapsed="false">
      <c r="C66" s="144" t="n">
        <f aca="false">46388</f>
        <v>46388</v>
      </c>
      <c r="D66" s="81" t="n">
        <f aca="false">1</f>
        <v>1</v>
      </c>
      <c r="E66" s="81" t="str">
        <f aca="false">'W Programs'!C10</f>
        <v>TLI</v>
      </c>
      <c r="F66" s="81" t="str">
        <f aca="false">'W Programs'!D10</f>
        <v>Digital</v>
      </c>
      <c r="G66" s="145" t="n">
        <f aca="false">INDEX('W Programs'!$F$10:$H$10,1,D66)*INDEX('W Assumptions'!$D$7:$F$7,1,D66)*'W Assumptions'!D99/SUM('W Assumptions'!D$95:D$106)</f>
        <v>14.7368421052632</v>
      </c>
      <c r="H66" s="81" t="n">
        <f aca="false">G66*INDEX('W Programs'!$I$10:$K$10,1,D66)*INDEX('W Assumptions'!$D$12:$F$12,1,D66)</f>
        <v>5157.89473684211</v>
      </c>
      <c r="I66" s="81" t="n">
        <f aca="false">H66*CHOOSE(D66,'W Programs'!L10,'W Programs'!Q10,'W Programs'!R10)*INDEX('W Assumptions'!$D$17:$F$17,1,D66)</f>
        <v>1031.57894736842</v>
      </c>
      <c r="J66" s="81" t="n">
        <f aca="false">H66*'W Programs'!$M$10*'W Programs'!$O$10</f>
        <v>0</v>
      </c>
      <c r="K66" s="149" t="n">
        <f aca="false">'W Programs'!$N$10</f>
        <v>1</v>
      </c>
      <c r="L66" s="81" t="n">
        <f aca="false">H66*K66+H38*(1-K66)</f>
        <v>5157.89473684211</v>
      </c>
      <c r="M66" s="81" t="n">
        <f aca="false">L66*'W Programs'!$M$10*'W Programs'!$O$10</f>
        <v>0</v>
      </c>
      <c r="N66" s="81" t="n">
        <f aca="false">I66*'W Assumptions'!$D$55+I52*(1-'W Assumptions'!$D$55)</f>
        <v>980</v>
      </c>
      <c r="O66" s="81" t="n">
        <f aca="false">H66-I66-J66</f>
        <v>4126.31578947368</v>
      </c>
    </row>
    <row r="67" customFormat="false" ht="21" hidden="false" customHeight="true" outlineLevel="0" collapsed="false">
      <c r="C67" s="144" t="n">
        <f aca="false">46388</f>
        <v>46388</v>
      </c>
      <c r="D67" s="81" t="n">
        <f aca="false">1</f>
        <v>1</v>
      </c>
      <c r="E67" s="81" t="str">
        <f aca="false">'W Programs'!C11</f>
        <v>TLI</v>
      </c>
      <c r="F67" s="81" t="str">
        <f aca="false">'W Programs'!D11</f>
        <v>Retail</v>
      </c>
      <c r="G67" s="145" t="n">
        <f aca="false">INDEX('W Programs'!$F$11:$H$11,1,D67)*INDEX('W Assumptions'!$D$7:$F$7,1,D67)*'W Assumptions'!D99/SUM('W Assumptions'!D$95:D$106)</f>
        <v>44.2105263157895</v>
      </c>
      <c r="H67" s="81" t="n">
        <f aca="false">G67*INDEX('W Programs'!$I$11:$K$11,1,D67)*INDEX('W Assumptions'!$D$12:$F$12,1,D67)</f>
        <v>10610.5263157895</v>
      </c>
      <c r="I67" s="81" t="n">
        <f aca="false">H67*CHOOSE(D67,'W Programs'!L11,'W Programs'!Q11,'W Programs'!R11)*INDEX('W Assumptions'!$D$17:$F$17,1,D67)</f>
        <v>5835.78947368421</v>
      </c>
      <c r="J67" s="81" t="n">
        <f aca="false">H67*'W Programs'!$M$11*'W Programs'!$O$11</f>
        <v>0</v>
      </c>
      <c r="K67" s="149" t="n">
        <f aca="false">'W Programs'!$N$11</f>
        <v>1</v>
      </c>
      <c r="L67" s="81" t="n">
        <f aca="false">H67*K67+H39*(1-K67)</f>
        <v>10610.5263157895</v>
      </c>
      <c r="M67" s="81" t="n">
        <f aca="false">L67*'W Programs'!$M$11*'W Programs'!$O$11</f>
        <v>0</v>
      </c>
      <c r="N67" s="81" t="n">
        <f aca="false">I67*'W Assumptions'!$D$55+I53*(1-'W Assumptions'!$D$55)</f>
        <v>5544</v>
      </c>
      <c r="O67" s="81" t="n">
        <f aca="false">H67-I67-J67</f>
        <v>4774.73684210526</v>
      </c>
    </row>
    <row r="68" customFormat="false" ht="21" hidden="false" customHeight="true" outlineLevel="0" collapsed="false">
      <c r="C68" s="144" t="n">
        <f aca="false">46388</f>
        <v>46388</v>
      </c>
      <c r="D68" s="81" t="n">
        <f aca="false">1</f>
        <v>1</v>
      </c>
      <c r="E68" s="81" t="str">
        <f aca="false">'W Programs'!C12</f>
        <v>TLI</v>
      </c>
      <c r="F68" s="81" t="str">
        <f aca="false">'W Programs'!D12</f>
        <v>Licensing</v>
      </c>
      <c r="G68" s="145" t="n">
        <f aca="false">INDEX('W Programs'!$F$12:$H$12,1,D68)*INDEX('W Assumptions'!$D$7:$F$7,1,D68)*'W Assumptions'!D99/SUM('W Assumptions'!D$95:D$106)</f>
        <v>0.0368421052631579</v>
      </c>
      <c r="H68" s="81" t="n">
        <f aca="false">G68*INDEX('W Programs'!$I$12:$K$12,1,D68)*INDEX('W Assumptions'!$D$12:$F$12,1,D68)</f>
        <v>3684.21052631579</v>
      </c>
      <c r="I68" s="81" t="n">
        <f aca="false">H68*CHOOSE(D68,'W Programs'!L12,'W Programs'!Q12,'W Programs'!R12)*INDEX('W Assumptions'!$D$17:$F$17,1,D68)</f>
        <v>552.631578947368</v>
      </c>
      <c r="J68" s="81" t="n">
        <f aca="false">H68*'W Programs'!$M$12*'W Programs'!$O$12</f>
        <v>0</v>
      </c>
      <c r="K68" s="149" t="n">
        <f aca="false">'W Programs'!$N$12</f>
        <v>0.3</v>
      </c>
      <c r="L68" s="81" t="n">
        <f aca="false">H68*K68+H40*(1-K68)</f>
        <v>2394.73684210526</v>
      </c>
      <c r="M68" s="81" t="n">
        <f aca="false">L68*'W Programs'!$M$12*'W Programs'!$O$12</f>
        <v>0</v>
      </c>
      <c r="N68" s="81" t="n">
        <f aca="false">I68*'W Assumptions'!$D$55+I54*(1-'W Assumptions'!$D$55)</f>
        <v>525</v>
      </c>
      <c r="O68" s="81" t="n">
        <f aca="false">H68-I68-J68</f>
        <v>3131.57894736842</v>
      </c>
    </row>
    <row r="69" customFormat="false" ht="21" hidden="false" customHeight="true" outlineLevel="0" collapsed="false">
      <c r="C69" s="144" t="n">
        <f aca="false">46388</f>
        <v>46388</v>
      </c>
      <c r="D69" s="81" t="n">
        <f aca="false">1</f>
        <v>1</v>
      </c>
      <c r="E69" s="81" t="str">
        <f aca="false">'W Programs'!C13</f>
        <v>WOO IP</v>
      </c>
      <c r="F69" s="81" t="str">
        <f aca="false">'W Programs'!D13</f>
        <v>Schools</v>
      </c>
      <c r="G69" s="145" t="n">
        <f aca="false">INDEX('W Programs'!$F$13:$H$13,1,D69)*INDEX('W Assumptions'!$D$7:$F$7,1,D69)*'W Assumptions'!D99/SUM('W Assumptions'!D$95:D$106)</f>
        <v>0.410526315789474</v>
      </c>
      <c r="H69" s="81" t="n">
        <f aca="false">G69*INDEX('W Programs'!$I$13:$K$13,1,D69)*INDEX('W Assumptions'!$D$12:$F$12,1,D69)</f>
        <v>57473.6842105263</v>
      </c>
      <c r="I69" s="81" t="n">
        <f aca="false">H69*CHOOSE(D69,'W Programs'!L13,'W Programs'!Q13,'W Programs'!R13)*INDEX('W Assumptions'!$D$17:$F$17,1,D69)</f>
        <v>24138.9473684211</v>
      </c>
      <c r="J69" s="81" t="n">
        <f aca="false">H69*'W Programs'!$M$13*'W Programs'!$O$13</f>
        <v>0</v>
      </c>
      <c r="K69" s="149" t="n">
        <f aca="false">'W Programs'!$N$13</f>
        <v>0.3</v>
      </c>
      <c r="L69" s="81" t="n">
        <f aca="false">H69*K69+H41*(1-K69)</f>
        <v>37357.8947368421</v>
      </c>
      <c r="M69" s="81" t="n">
        <f aca="false">L69*'W Programs'!$M$13*'W Programs'!$O$13</f>
        <v>0</v>
      </c>
      <c r="N69" s="81" t="n">
        <f aca="false">I69*'W Assumptions'!$D$55+I55*(1-'W Assumptions'!$D$55)</f>
        <v>22932</v>
      </c>
      <c r="O69" s="81" t="n">
        <f aca="false">H69-I69-J69</f>
        <v>33334.7368421053</v>
      </c>
    </row>
    <row r="70" customFormat="false" ht="21" hidden="false" customHeight="true" outlineLevel="0" collapsed="false">
      <c r="C70" s="144" t="n">
        <f aca="false">46388</f>
        <v>46388</v>
      </c>
      <c r="D70" s="81" t="n">
        <f aca="false">1</f>
        <v>1</v>
      </c>
      <c r="E70" s="81" t="str">
        <f aca="false">'W Programs'!C14</f>
        <v>WOO IP</v>
      </c>
      <c r="F70" s="81" t="str">
        <f aca="false">'W Programs'!D14</f>
        <v>Activations</v>
      </c>
      <c r="G70" s="145" t="n">
        <f aca="false">INDEX('W Programs'!$F$14:$H$14,1,D70)*INDEX('W Assumptions'!$D$7:$F$7,1,D70)*'W Assumptions'!D99/SUM('W Assumptions'!D$95:D$106)</f>
        <v>0.547368421052632</v>
      </c>
      <c r="H70" s="81" t="n">
        <f aca="false">G70*INDEX('W Programs'!$I$14:$K$14,1,D70)*INDEX('W Assumptions'!$D$12:$F$12,1,D70)</f>
        <v>35578.9473684211</v>
      </c>
      <c r="I70" s="81" t="n">
        <f aca="false">H70*CHOOSE(D70,'W Programs'!L14,'W Programs'!Q14,'W Programs'!R14)*INDEX('W Assumptions'!$D$17:$F$17,1,D70)</f>
        <v>19568.4210526316</v>
      </c>
      <c r="J70" s="81" t="n">
        <f aca="false">H70*'W Programs'!$M$14*'W Programs'!$O$14</f>
        <v>0</v>
      </c>
      <c r="K70" s="149" t="n">
        <f aca="false">'W Programs'!$N$14</f>
        <v>0.3</v>
      </c>
      <c r="L70" s="81" t="n">
        <f aca="false">H70*K70+H42*(1-K70)</f>
        <v>23126.3157894737</v>
      </c>
      <c r="M70" s="81" t="n">
        <f aca="false">L70*'W Programs'!$M$14*'W Programs'!$O$14</f>
        <v>0</v>
      </c>
      <c r="N70" s="81" t="n">
        <f aca="false">I70*'W Assumptions'!$D$55+I56*(1-'W Assumptions'!$D$55)</f>
        <v>18590</v>
      </c>
      <c r="O70" s="81" t="n">
        <f aca="false">H70-I70-J70</f>
        <v>16010.5263157895</v>
      </c>
    </row>
    <row r="71" customFormat="false" ht="21" hidden="false" customHeight="true" outlineLevel="0" collapsed="false">
      <c r="C71" s="144" t="n">
        <f aca="false">46388</f>
        <v>46388</v>
      </c>
      <c r="D71" s="81" t="n">
        <f aca="false">1</f>
        <v>1</v>
      </c>
      <c r="E71" s="81" t="str">
        <f aca="false">'W Programs'!C15</f>
        <v>WOO IP</v>
      </c>
      <c r="F71" s="81" t="str">
        <f aca="false">'W Programs'!D15</f>
        <v>Workshops</v>
      </c>
      <c r="G71" s="145" t="n">
        <f aca="false">INDEX('W Programs'!$F$15:$H$15,1,D71)*INDEX('W Assumptions'!$D$7:$F$7,1,D71)*'W Assumptions'!D99/SUM('W Assumptions'!D$95:D$106)</f>
        <v>6.15789473684211</v>
      </c>
      <c r="H71" s="81" t="n">
        <f aca="false">G71*INDEX('W Programs'!$I$15:$K$15,1,D71)*INDEX('W Assumptions'!$D$12:$F$12,1,D71)</f>
        <v>24631.5789473684</v>
      </c>
      <c r="I71" s="81" t="n">
        <f aca="false">H71*CHOOSE(D71,'W Programs'!L15,'W Programs'!Q15,'W Programs'!R15)*INDEX('W Assumptions'!$D$17:$F$17,1,D71)</f>
        <v>11084.2105263158</v>
      </c>
      <c r="J71" s="81" t="n">
        <f aca="false">H71*'W Programs'!$M$15*'W Programs'!$O$15</f>
        <v>0</v>
      </c>
      <c r="K71" s="149" t="n">
        <f aca="false">'W Programs'!$N$15</f>
        <v>0.7</v>
      </c>
      <c r="L71" s="81" t="n">
        <f aca="false">H71*K71+H43*(1-K71)</f>
        <v>20936.8421052632</v>
      </c>
      <c r="M71" s="81" t="n">
        <f aca="false">L71*'W Programs'!$M$15*'W Programs'!$O$15</f>
        <v>0</v>
      </c>
      <c r="N71" s="81" t="n">
        <f aca="false">I71*'W Assumptions'!$D$55+I57*(1-'W Assumptions'!$D$55)</f>
        <v>10530</v>
      </c>
      <c r="O71" s="81" t="n">
        <f aca="false">H71-I71-J71</f>
        <v>13547.3684210526</v>
      </c>
    </row>
    <row r="72" customFormat="false" ht="21" hidden="false" customHeight="true" outlineLevel="0" collapsed="false">
      <c r="C72" s="144" t="n">
        <f aca="false">46388</f>
        <v>46388</v>
      </c>
      <c r="D72" s="81" t="n">
        <f aca="false">1</f>
        <v>1</v>
      </c>
      <c r="E72" s="81" t="str">
        <f aca="false">'W Programs'!C16</f>
        <v>WOO IP</v>
      </c>
      <c r="F72" s="81" t="str">
        <f aca="false">'W Programs'!D16</f>
        <v>Installations</v>
      </c>
      <c r="G72" s="145" t="n">
        <f aca="false">INDEX('W Programs'!$F$16:$H$16,1,D72)*INDEX('W Assumptions'!$D$7:$F$7,1,D72)*'W Assumptions'!D99/SUM('W Assumptions'!D$95:D$106)</f>
        <v>0.068421052631579</v>
      </c>
      <c r="H72" s="81" t="n">
        <f aca="false">G72*INDEX('W Programs'!$I$16:$K$16,1,D72)*INDEX('W Assumptions'!$D$12:$F$12,1,D72)</f>
        <v>17105.2631578947</v>
      </c>
      <c r="I72" s="81" t="n">
        <f aca="false">H72*CHOOSE(D72,'W Programs'!L16,'W Programs'!Q16,'W Programs'!R16)*INDEX('W Assumptions'!$D$17:$F$17,1,D72)</f>
        <v>11118.4210526316</v>
      </c>
      <c r="J72" s="81" t="n">
        <f aca="false">H72*'W Programs'!$M$16*'W Programs'!$O$16</f>
        <v>0</v>
      </c>
      <c r="K72" s="149" t="n">
        <f aca="false">'W Programs'!$N$16</f>
        <v>0.3</v>
      </c>
      <c r="L72" s="81" t="n">
        <f aca="false">H72*K72+H44*(1-K72)</f>
        <v>11118.4210526316</v>
      </c>
      <c r="M72" s="81" t="n">
        <f aca="false">L72*'W Programs'!$M$16*'W Programs'!$O$16</f>
        <v>0</v>
      </c>
      <c r="N72" s="81" t="n">
        <f aca="false">I72*'W Assumptions'!$D$55+I58*(1-'W Assumptions'!$D$55)</f>
        <v>10562.5</v>
      </c>
      <c r="O72" s="81" t="n">
        <f aca="false">H72-I72-J72</f>
        <v>5986.84210526316</v>
      </c>
    </row>
    <row r="73" customFormat="false" ht="21" hidden="false" customHeight="true" outlineLevel="0" collapsed="false">
      <c r="C73" s="144" t="n">
        <f aca="false">46388</f>
        <v>46388</v>
      </c>
      <c r="D73" s="81" t="n">
        <f aca="false">1</f>
        <v>1</v>
      </c>
      <c r="E73" s="81" t="str">
        <f aca="false">'W Programs'!C17</f>
        <v>WOO IP</v>
      </c>
      <c r="F73" s="81" t="str">
        <f aca="false">'W Programs'!D17</f>
        <v>Digital</v>
      </c>
      <c r="G73" s="145" t="n">
        <f aca="false">INDEX('W Programs'!$F$17:$H$17,1,D73)*INDEX('W Assumptions'!$D$7:$F$7,1,D73)*'W Assumptions'!D99/SUM('W Assumptions'!D$95:D$106)</f>
        <v>27.3684210526316</v>
      </c>
      <c r="H73" s="81" t="n">
        <f aca="false">G73*INDEX('W Programs'!$I$17:$K$17,1,D73)*INDEX('W Assumptions'!$D$12:$F$12,1,D73)</f>
        <v>9578.94736842105</v>
      </c>
      <c r="I73" s="81" t="n">
        <f aca="false">H73*CHOOSE(D73,'W Programs'!L17,'W Programs'!Q17,'W Programs'!R17)*INDEX('W Assumptions'!$D$17:$F$17,1,D73)</f>
        <v>1915.78947368421</v>
      </c>
      <c r="J73" s="81" t="n">
        <f aca="false">H73*'W Programs'!$M$17*'W Programs'!$O$17</f>
        <v>0</v>
      </c>
      <c r="K73" s="149" t="n">
        <f aca="false">'W Programs'!$N$17</f>
        <v>1</v>
      </c>
      <c r="L73" s="81" t="n">
        <f aca="false">H73*K73+H45*(1-K73)</f>
        <v>9578.94736842105</v>
      </c>
      <c r="M73" s="81" t="n">
        <f aca="false">L73*'W Programs'!$M$17*'W Programs'!$O$17</f>
        <v>0</v>
      </c>
      <c r="N73" s="81" t="n">
        <f aca="false">I73*'W Assumptions'!$D$55+I59*(1-'W Assumptions'!$D$55)</f>
        <v>1820</v>
      </c>
      <c r="O73" s="81" t="n">
        <f aca="false">H73-I73-J73</f>
        <v>7663.15789473684</v>
      </c>
    </row>
    <row r="74" customFormat="false" ht="21" hidden="false" customHeight="true" outlineLevel="0" collapsed="false">
      <c r="C74" s="144" t="n">
        <f aca="false">46388</f>
        <v>46388</v>
      </c>
      <c r="D74" s="81" t="n">
        <f aca="false">1</f>
        <v>1</v>
      </c>
      <c r="E74" s="81" t="str">
        <f aca="false">'W Programs'!C18</f>
        <v>WOO IP</v>
      </c>
      <c r="F74" s="81" t="str">
        <f aca="false">'W Programs'!D18</f>
        <v>Retail</v>
      </c>
      <c r="G74" s="145" t="n">
        <f aca="false">INDEX('W Programs'!$F$18:$H$18,1,D74)*INDEX('W Assumptions'!$D$7:$F$7,1,D74)*'W Assumptions'!D99/SUM('W Assumptions'!D$95:D$106)</f>
        <v>82.1052631578947</v>
      </c>
      <c r="H74" s="81" t="n">
        <f aca="false">G74*INDEX('W Programs'!$I$18:$K$18,1,D74)*INDEX('W Assumptions'!$D$12:$F$12,1,D74)</f>
        <v>19705.2631578947</v>
      </c>
      <c r="I74" s="81" t="n">
        <f aca="false">H74*CHOOSE(D74,'W Programs'!L18,'W Programs'!Q18,'W Programs'!R18)*INDEX('W Assumptions'!$D$17:$F$17,1,D74)</f>
        <v>10837.8947368421</v>
      </c>
      <c r="J74" s="81" t="n">
        <f aca="false">H74*'W Programs'!$M$18*'W Programs'!$O$18</f>
        <v>0</v>
      </c>
      <c r="K74" s="149" t="n">
        <f aca="false">'W Programs'!$N$18</f>
        <v>1</v>
      </c>
      <c r="L74" s="81" t="n">
        <f aca="false">H74*K74+H46*(1-K74)</f>
        <v>19705.2631578947</v>
      </c>
      <c r="M74" s="81" t="n">
        <f aca="false">L74*'W Programs'!$M$18*'W Programs'!$O$18</f>
        <v>0</v>
      </c>
      <c r="N74" s="81" t="n">
        <f aca="false">I74*'W Assumptions'!$D$55+I60*(1-'W Assumptions'!$D$55)</f>
        <v>10296</v>
      </c>
      <c r="O74" s="81" t="n">
        <f aca="false">H74-I74-J74</f>
        <v>8867.36842105263</v>
      </c>
    </row>
    <row r="75" customFormat="false" ht="21" hidden="false" customHeight="true" outlineLevel="0" collapsed="false">
      <c r="C75" s="144" t="n">
        <f aca="false">46388</f>
        <v>46388</v>
      </c>
      <c r="D75" s="81" t="n">
        <f aca="false">1</f>
        <v>1</v>
      </c>
      <c r="E75" s="81" t="str">
        <f aca="false">'W Programs'!C19</f>
        <v>WOO IP</v>
      </c>
      <c r="F75" s="81" t="str">
        <f aca="false">'W Programs'!D19</f>
        <v>Licensing</v>
      </c>
      <c r="G75" s="145" t="n">
        <f aca="false">INDEX('W Programs'!$F$19:$H$19,1,D75)*INDEX('W Assumptions'!$D$7:$F$7,1,D75)*'W Assumptions'!D99/SUM('W Assumptions'!D$95:D$106)</f>
        <v>0.068421052631579</v>
      </c>
      <c r="H75" s="81" t="n">
        <f aca="false">G75*INDEX('W Programs'!$I$19:$K$19,1,D75)*INDEX('W Assumptions'!$D$12:$F$12,1,D75)</f>
        <v>6842.1052631579</v>
      </c>
      <c r="I75" s="81" t="n">
        <f aca="false">H75*CHOOSE(D75,'W Programs'!L19,'W Programs'!Q19,'W Programs'!R19)*INDEX('W Assumptions'!$D$17:$F$17,1,D75)</f>
        <v>1026.31578947368</v>
      </c>
      <c r="J75" s="81" t="n">
        <f aca="false">H75*'W Programs'!$M$19*'W Programs'!$O$19</f>
        <v>0</v>
      </c>
      <c r="K75" s="149" t="n">
        <f aca="false">'W Programs'!$N$19</f>
        <v>0.3</v>
      </c>
      <c r="L75" s="81" t="n">
        <f aca="false">H75*K75+H47*(1-K75)</f>
        <v>4447.36842105263</v>
      </c>
      <c r="M75" s="81" t="n">
        <f aca="false">L75*'W Programs'!$M$19*'W Programs'!$O$19</f>
        <v>0</v>
      </c>
      <c r="N75" s="81" t="n">
        <f aca="false">I75*'W Assumptions'!$D$55+I61*(1-'W Assumptions'!$D$55)</f>
        <v>975</v>
      </c>
      <c r="O75" s="81" t="n">
        <f aca="false">H75-I75-J75</f>
        <v>5815.78947368421</v>
      </c>
    </row>
    <row r="76" customFormat="false" ht="21" hidden="false" customHeight="true" outlineLevel="0" collapsed="false">
      <c r="C76" s="144" t="n">
        <f aca="false">46419</f>
        <v>46419</v>
      </c>
      <c r="D76" s="81" t="n">
        <f aca="false">1</f>
        <v>1</v>
      </c>
      <c r="E76" s="81" t="str">
        <f aca="false">'W Programs'!C6</f>
        <v>TLI</v>
      </c>
      <c r="F76" s="81" t="str">
        <f aca="false">'W Programs'!D6</f>
        <v>Schools</v>
      </c>
      <c r="G76" s="145" t="n">
        <f aca="false">INDEX('W Programs'!$F$6:$H$6,1,D76)*INDEX('W Assumptions'!$D$7:$F$7,1,D76)*'W Assumptions'!D100/SUM('W Assumptions'!D$95:D$106)</f>
        <v>0.221052631578947</v>
      </c>
      <c r="H76" s="81" t="n">
        <f aca="false">G76*INDEX('W Programs'!$I$6:$K$6,1,D76)*INDEX('W Assumptions'!$D$12:$F$12,1,D76)</f>
        <v>30947.3684210526</v>
      </c>
      <c r="I76" s="81" t="n">
        <f aca="false">H76*CHOOSE(D76,'W Programs'!L6,'W Programs'!Q6,'W Programs'!R6)*INDEX('W Assumptions'!$D$17:$F$17,1,D76)</f>
        <v>12997.8947368421</v>
      </c>
      <c r="J76" s="81" t="n">
        <f aca="false">H76*'W Programs'!$M$6*'W Programs'!$O$6</f>
        <v>0</v>
      </c>
      <c r="K76" s="149" t="n">
        <f aca="false">'W Programs'!$N$6</f>
        <v>0.3</v>
      </c>
      <c r="L76" s="81" t="n">
        <f aca="false">H76*K76+H48*(1-K76)</f>
        <v>25531.5789473684</v>
      </c>
      <c r="M76" s="81" t="n">
        <f aca="false">L76*'W Programs'!$M$6*'W Programs'!$O$6</f>
        <v>0</v>
      </c>
      <c r="N76" s="81" t="n">
        <f aca="false">I76*'W Assumptions'!$D$55+I62*(1-'W Assumptions'!$D$55)</f>
        <v>12997.8947368421</v>
      </c>
      <c r="O76" s="81" t="n">
        <f aca="false">H76-I76-J76</f>
        <v>17949.4736842105</v>
      </c>
    </row>
    <row r="77" customFormat="false" ht="21" hidden="false" customHeight="true" outlineLevel="0" collapsed="false">
      <c r="C77" s="144" t="n">
        <f aca="false">46419</f>
        <v>46419</v>
      </c>
      <c r="D77" s="81" t="n">
        <f aca="false">1</f>
        <v>1</v>
      </c>
      <c r="E77" s="81" t="str">
        <f aca="false">'W Programs'!C7</f>
        <v>TLI</v>
      </c>
      <c r="F77" s="81" t="str">
        <f aca="false">'W Programs'!D7</f>
        <v>Activations</v>
      </c>
      <c r="G77" s="145" t="n">
        <f aca="false">INDEX('W Programs'!$F$7:$H$7,1,D77)*INDEX('W Assumptions'!$D$7:$F$7,1,D77)*'W Assumptions'!D100/SUM('W Assumptions'!D$95:D$106)</f>
        <v>0.294736842105263</v>
      </c>
      <c r="H77" s="81" t="n">
        <f aca="false">G77*INDEX('W Programs'!$I$7:$K$7,1,D77)*INDEX('W Assumptions'!$D$12:$F$12,1,D77)</f>
        <v>19157.8947368421</v>
      </c>
      <c r="I77" s="81" t="n">
        <f aca="false">H77*CHOOSE(D77,'W Programs'!L7,'W Programs'!Q7,'W Programs'!R7)*INDEX('W Assumptions'!$D$17:$F$17,1,D77)</f>
        <v>10536.8421052632</v>
      </c>
      <c r="J77" s="81" t="n">
        <f aca="false">H77*'W Programs'!$M$7*'W Programs'!$O$7</f>
        <v>0</v>
      </c>
      <c r="K77" s="149" t="n">
        <f aca="false">'W Programs'!$N$7</f>
        <v>0.3</v>
      </c>
      <c r="L77" s="81" t="n">
        <f aca="false">H77*K77+H49*(1-K77)</f>
        <v>15805.2631578947</v>
      </c>
      <c r="M77" s="81" t="n">
        <f aca="false">L77*'W Programs'!$M$7*'W Programs'!$O$7</f>
        <v>0</v>
      </c>
      <c r="N77" s="81" t="n">
        <f aca="false">I77*'W Assumptions'!$D$55+I63*(1-'W Assumptions'!$D$55)</f>
        <v>10536.8421052632</v>
      </c>
      <c r="O77" s="81" t="n">
        <f aca="false">H77-I77-J77</f>
        <v>8621.05263157895</v>
      </c>
    </row>
    <row r="78" customFormat="false" ht="21" hidden="false" customHeight="true" outlineLevel="0" collapsed="false">
      <c r="C78" s="144" t="n">
        <f aca="false">46419</f>
        <v>46419</v>
      </c>
      <c r="D78" s="81" t="n">
        <f aca="false">1</f>
        <v>1</v>
      </c>
      <c r="E78" s="81" t="str">
        <f aca="false">'W Programs'!C8</f>
        <v>TLI</v>
      </c>
      <c r="F78" s="81" t="str">
        <f aca="false">'W Programs'!D8</f>
        <v>Workshops</v>
      </c>
      <c r="G78" s="145" t="n">
        <f aca="false">INDEX('W Programs'!$F$8:$H$8,1,D78)*INDEX('W Assumptions'!$D$7:$F$7,1,D78)*'W Assumptions'!D100/SUM('W Assumptions'!D$95:D$106)</f>
        <v>3.31578947368421</v>
      </c>
      <c r="H78" s="81" t="n">
        <f aca="false">G78*INDEX('W Programs'!$I$8:$K$8,1,D78)*INDEX('W Assumptions'!$D$12:$F$12,1,D78)</f>
        <v>13263.1578947368</v>
      </c>
      <c r="I78" s="81" t="n">
        <f aca="false">H78*CHOOSE(D78,'W Programs'!L8,'W Programs'!Q8,'W Programs'!R8)*INDEX('W Assumptions'!$D$17:$F$17,1,D78)</f>
        <v>5968.42105263158</v>
      </c>
      <c r="J78" s="81" t="n">
        <f aca="false">H78*'W Programs'!$M$8*'W Programs'!$O$8</f>
        <v>0</v>
      </c>
      <c r="K78" s="149" t="n">
        <f aca="false">'W Programs'!$N$8</f>
        <v>0.7</v>
      </c>
      <c r="L78" s="81" t="n">
        <f aca="false">H78*K78+H50*(1-K78)</f>
        <v>12268.4210526316</v>
      </c>
      <c r="M78" s="81" t="n">
        <f aca="false">L78*'W Programs'!$M$8*'W Programs'!$O$8</f>
        <v>0</v>
      </c>
      <c r="N78" s="81" t="n">
        <f aca="false">I78*'W Assumptions'!$D$55+I64*(1-'W Assumptions'!$D$55)</f>
        <v>5968.42105263158</v>
      </c>
      <c r="O78" s="81" t="n">
        <f aca="false">H78-I78-J78</f>
        <v>7294.73684210526</v>
      </c>
    </row>
    <row r="79" customFormat="false" ht="21" hidden="false" customHeight="true" outlineLevel="0" collapsed="false">
      <c r="C79" s="144" t="n">
        <f aca="false">46419</f>
        <v>46419</v>
      </c>
      <c r="D79" s="81" t="n">
        <f aca="false">1</f>
        <v>1</v>
      </c>
      <c r="E79" s="81" t="str">
        <f aca="false">'W Programs'!C9</f>
        <v>TLI</v>
      </c>
      <c r="F79" s="81" t="str">
        <f aca="false">'W Programs'!D9</f>
        <v>Installations</v>
      </c>
      <c r="G79" s="145" t="n">
        <f aca="false">INDEX('W Programs'!$F$9:$H$9,1,D79)*INDEX('W Assumptions'!$D$7:$F$7,1,D79)*'W Assumptions'!D100/SUM('W Assumptions'!D$95:D$106)</f>
        <v>0.0368421052631579</v>
      </c>
      <c r="H79" s="81" t="n">
        <f aca="false">G79*INDEX('W Programs'!$I$9:$K$9,1,D79)*INDEX('W Assumptions'!$D$12:$F$12,1,D79)</f>
        <v>9210.52631578947</v>
      </c>
      <c r="I79" s="81" t="n">
        <f aca="false">H79*CHOOSE(D79,'W Programs'!L9,'W Programs'!Q9,'W Programs'!R9)*INDEX('W Assumptions'!$D$17:$F$17,1,D79)</f>
        <v>5986.84210526316</v>
      </c>
      <c r="J79" s="81" t="n">
        <f aca="false">H79*'W Programs'!$M$9*'W Programs'!$O$9</f>
        <v>0</v>
      </c>
      <c r="K79" s="149" t="n">
        <f aca="false">'W Programs'!$N$9</f>
        <v>0.3</v>
      </c>
      <c r="L79" s="81" t="n">
        <f aca="false">H79*K79+H51*(1-K79)</f>
        <v>7598.68421052632</v>
      </c>
      <c r="M79" s="81" t="n">
        <f aca="false">L79*'W Programs'!$M$9*'W Programs'!$O$9</f>
        <v>0</v>
      </c>
      <c r="N79" s="81" t="n">
        <f aca="false">I79*'W Assumptions'!$D$55+I65*(1-'W Assumptions'!$D$55)</f>
        <v>5986.84210526316</v>
      </c>
      <c r="O79" s="81" t="n">
        <f aca="false">H79-I79-J79</f>
        <v>3223.68421052632</v>
      </c>
    </row>
    <row r="80" customFormat="false" ht="21" hidden="false" customHeight="true" outlineLevel="0" collapsed="false">
      <c r="C80" s="144" t="n">
        <f aca="false">46419</f>
        <v>46419</v>
      </c>
      <c r="D80" s="81" t="n">
        <f aca="false">1</f>
        <v>1</v>
      </c>
      <c r="E80" s="81" t="str">
        <f aca="false">'W Programs'!C10</f>
        <v>TLI</v>
      </c>
      <c r="F80" s="81" t="str">
        <f aca="false">'W Programs'!D10</f>
        <v>Digital</v>
      </c>
      <c r="G80" s="145" t="n">
        <f aca="false">INDEX('W Programs'!$F$10:$H$10,1,D80)*INDEX('W Assumptions'!$D$7:$F$7,1,D80)*'W Assumptions'!D100/SUM('W Assumptions'!D$95:D$106)</f>
        <v>14.7368421052632</v>
      </c>
      <c r="H80" s="81" t="n">
        <f aca="false">G80*INDEX('W Programs'!$I$10:$K$10,1,D80)*INDEX('W Assumptions'!$D$12:$F$12,1,D80)</f>
        <v>5157.89473684211</v>
      </c>
      <c r="I80" s="81" t="n">
        <f aca="false">H80*CHOOSE(D80,'W Programs'!L10,'W Programs'!Q10,'W Programs'!R10)*INDEX('W Assumptions'!$D$17:$F$17,1,D80)</f>
        <v>1031.57894736842</v>
      </c>
      <c r="J80" s="81" t="n">
        <f aca="false">H80*'W Programs'!$M$10*'W Programs'!$O$10</f>
        <v>0</v>
      </c>
      <c r="K80" s="149" t="n">
        <f aca="false">'W Programs'!$N$10</f>
        <v>1</v>
      </c>
      <c r="L80" s="81" t="n">
        <f aca="false">H80*K80+H52*(1-K80)</f>
        <v>5157.89473684211</v>
      </c>
      <c r="M80" s="81" t="n">
        <f aca="false">L80*'W Programs'!$M$10*'W Programs'!$O$10</f>
        <v>0</v>
      </c>
      <c r="N80" s="81" t="n">
        <f aca="false">I80*'W Assumptions'!$D$55+I66*(1-'W Assumptions'!$D$55)</f>
        <v>1031.57894736842</v>
      </c>
      <c r="O80" s="81" t="n">
        <f aca="false">H80-I80-J80</f>
        <v>4126.31578947368</v>
      </c>
    </row>
    <row r="81" customFormat="false" ht="21" hidden="false" customHeight="true" outlineLevel="0" collapsed="false">
      <c r="C81" s="144" t="n">
        <f aca="false">46419</f>
        <v>46419</v>
      </c>
      <c r="D81" s="81" t="n">
        <f aca="false">1</f>
        <v>1</v>
      </c>
      <c r="E81" s="81" t="str">
        <f aca="false">'W Programs'!C11</f>
        <v>TLI</v>
      </c>
      <c r="F81" s="81" t="str">
        <f aca="false">'W Programs'!D11</f>
        <v>Retail</v>
      </c>
      <c r="G81" s="145" t="n">
        <f aca="false">INDEX('W Programs'!$F$11:$H$11,1,D81)*INDEX('W Assumptions'!$D$7:$F$7,1,D81)*'W Assumptions'!D100/SUM('W Assumptions'!D$95:D$106)</f>
        <v>44.2105263157895</v>
      </c>
      <c r="H81" s="81" t="n">
        <f aca="false">G81*INDEX('W Programs'!$I$11:$K$11,1,D81)*INDEX('W Assumptions'!$D$12:$F$12,1,D81)</f>
        <v>10610.5263157895</v>
      </c>
      <c r="I81" s="81" t="n">
        <f aca="false">H81*CHOOSE(D81,'W Programs'!L11,'W Programs'!Q11,'W Programs'!R11)*INDEX('W Assumptions'!$D$17:$F$17,1,D81)</f>
        <v>5835.78947368421</v>
      </c>
      <c r="J81" s="81" t="n">
        <f aca="false">H81*'W Programs'!$M$11*'W Programs'!$O$11</f>
        <v>0</v>
      </c>
      <c r="K81" s="149" t="n">
        <f aca="false">'W Programs'!$N$11</f>
        <v>1</v>
      </c>
      <c r="L81" s="81" t="n">
        <f aca="false">H81*K81+H53*(1-K81)</f>
        <v>10610.5263157895</v>
      </c>
      <c r="M81" s="81" t="n">
        <f aca="false">L81*'W Programs'!$M$11*'W Programs'!$O$11</f>
        <v>0</v>
      </c>
      <c r="N81" s="81" t="n">
        <f aca="false">I81*'W Assumptions'!$D$55+I67*(1-'W Assumptions'!$D$55)</f>
        <v>5835.78947368421</v>
      </c>
      <c r="O81" s="81" t="n">
        <f aca="false">H81-I81-J81</f>
        <v>4774.73684210526</v>
      </c>
    </row>
    <row r="82" customFormat="false" ht="21" hidden="false" customHeight="true" outlineLevel="0" collapsed="false">
      <c r="C82" s="144" t="n">
        <f aca="false">46419</f>
        <v>46419</v>
      </c>
      <c r="D82" s="81" t="n">
        <f aca="false">1</f>
        <v>1</v>
      </c>
      <c r="E82" s="81" t="str">
        <f aca="false">'W Programs'!C12</f>
        <v>TLI</v>
      </c>
      <c r="F82" s="81" t="str">
        <f aca="false">'W Programs'!D12</f>
        <v>Licensing</v>
      </c>
      <c r="G82" s="145" t="n">
        <f aca="false">INDEX('W Programs'!$F$12:$H$12,1,D82)*INDEX('W Assumptions'!$D$7:$F$7,1,D82)*'W Assumptions'!D100/SUM('W Assumptions'!D$95:D$106)</f>
        <v>0.0368421052631579</v>
      </c>
      <c r="H82" s="81" t="n">
        <f aca="false">G82*INDEX('W Programs'!$I$12:$K$12,1,D82)*INDEX('W Assumptions'!$D$12:$F$12,1,D82)</f>
        <v>3684.21052631579</v>
      </c>
      <c r="I82" s="81" t="n">
        <f aca="false">H82*CHOOSE(D82,'W Programs'!L12,'W Programs'!Q12,'W Programs'!R12)*INDEX('W Assumptions'!$D$17:$F$17,1,D82)</f>
        <v>552.631578947368</v>
      </c>
      <c r="J82" s="81" t="n">
        <f aca="false">H82*'W Programs'!$M$12*'W Programs'!$O$12</f>
        <v>0</v>
      </c>
      <c r="K82" s="149" t="n">
        <f aca="false">'W Programs'!$N$12</f>
        <v>0.3</v>
      </c>
      <c r="L82" s="81" t="n">
        <f aca="false">H82*K82+H54*(1-K82)</f>
        <v>3039.47368421053</v>
      </c>
      <c r="M82" s="81" t="n">
        <f aca="false">L82*'W Programs'!$M$12*'W Programs'!$O$12</f>
        <v>0</v>
      </c>
      <c r="N82" s="81" t="n">
        <f aca="false">I82*'W Assumptions'!$D$55+I68*(1-'W Assumptions'!$D$55)</f>
        <v>552.631578947368</v>
      </c>
      <c r="O82" s="81" t="n">
        <f aca="false">H82-I82-J82</f>
        <v>3131.57894736842</v>
      </c>
    </row>
    <row r="83" customFormat="false" ht="21" hidden="false" customHeight="true" outlineLevel="0" collapsed="false">
      <c r="C83" s="144" t="n">
        <f aca="false">46419</f>
        <v>46419</v>
      </c>
      <c r="D83" s="81" t="n">
        <f aca="false">1</f>
        <v>1</v>
      </c>
      <c r="E83" s="81" t="str">
        <f aca="false">'W Programs'!C13</f>
        <v>WOO IP</v>
      </c>
      <c r="F83" s="81" t="str">
        <f aca="false">'W Programs'!D13</f>
        <v>Schools</v>
      </c>
      <c r="G83" s="145" t="n">
        <f aca="false">INDEX('W Programs'!$F$13:$H$13,1,D83)*INDEX('W Assumptions'!$D$7:$F$7,1,D83)*'W Assumptions'!D100/SUM('W Assumptions'!D$95:D$106)</f>
        <v>0.410526315789474</v>
      </c>
      <c r="H83" s="81" t="n">
        <f aca="false">G83*INDEX('W Programs'!$I$13:$K$13,1,D83)*INDEX('W Assumptions'!$D$12:$F$12,1,D83)</f>
        <v>57473.6842105263</v>
      </c>
      <c r="I83" s="81" t="n">
        <f aca="false">H83*CHOOSE(D83,'W Programs'!L13,'W Programs'!Q13,'W Programs'!R13)*INDEX('W Assumptions'!$D$17:$F$17,1,D83)</f>
        <v>24138.9473684211</v>
      </c>
      <c r="J83" s="81" t="n">
        <f aca="false">H83*'W Programs'!$M$13*'W Programs'!$O$13</f>
        <v>0</v>
      </c>
      <c r="K83" s="149" t="n">
        <f aca="false">'W Programs'!$N$13</f>
        <v>0.3</v>
      </c>
      <c r="L83" s="81" t="n">
        <f aca="false">H83*K83+H55*(1-K83)</f>
        <v>47415.7894736842</v>
      </c>
      <c r="M83" s="81" t="n">
        <f aca="false">L83*'W Programs'!$M$13*'W Programs'!$O$13</f>
        <v>0</v>
      </c>
      <c r="N83" s="81" t="n">
        <f aca="false">I83*'W Assumptions'!$D$55+I69*(1-'W Assumptions'!$D$55)</f>
        <v>24138.9473684211</v>
      </c>
      <c r="O83" s="81" t="n">
        <f aca="false">H83-I83-J83</f>
        <v>33334.7368421053</v>
      </c>
    </row>
    <row r="84" customFormat="false" ht="21" hidden="false" customHeight="true" outlineLevel="0" collapsed="false">
      <c r="C84" s="144" t="n">
        <f aca="false">46419</f>
        <v>46419</v>
      </c>
      <c r="D84" s="81" t="n">
        <f aca="false">1</f>
        <v>1</v>
      </c>
      <c r="E84" s="81" t="str">
        <f aca="false">'W Programs'!C14</f>
        <v>WOO IP</v>
      </c>
      <c r="F84" s="81" t="str">
        <f aca="false">'W Programs'!D14</f>
        <v>Activations</v>
      </c>
      <c r="G84" s="145" t="n">
        <f aca="false">INDEX('W Programs'!$F$14:$H$14,1,D84)*INDEX('W Assumptions'!$D$7:$F$7,1,D84)*'W Assumptions'!D100/SUM('W Assumptions'!D$95:D$106)</f>
        <v>0.547368421052632</v>
      </c>
      <c r="H84" s="81" t="n">
        <f aca="false">G84*INDEX('W Programs'!$I$14:$K$14,1,D84)*INDEX('W Assumptions'!$D$12:$F$12,1,D84)</f>
        <v>35578.9473684211</v>
      </c>
      <c r="I84" s="81" t="n">
        <f aca="false">H84*CHOOSE(D84,'W Programs'!L14,'W Programs'!Q14,'W Programs'!R14)*INDEX('W Assumptions'!$D$17:$F$17,1,D84)</f>
        <v>19568.4210526316</v>
      </c>
      <c r="J84" s="81" t="n">
        <f aca="false">H84*'W Programs'!$M$14*'W Programs'!$O$14</f>
        <v>0</v>
      </c>
      <c r="K84" s="149" t="n">
        <f aca="false">'W Programs'!$N$14</f>
        <v>0.3</v>
      </c>
      <c r="L84" s="81" t="n">
        <f aca="false">H84*K84+H56*(1-K84)</f>
        <v>29352.6315789474</v>
      </c>
      <c r="M84" s="81" t="n">
        <f aca="false">L84*'W Programs'!$M$14*'W Programs'!$O$14</f>
        <v>0</v>
      </c>
      <c r="N84" s="81" t="n">
        <f aca="false">I84*'W Assumptions'!$D$55+I70*(1-'W Assumptions'!$D$55)</f>
        <v>19568.4210526316</v>
      </c>
      <c r="O84" s="81" t="n">
        <f aca="false">H84-I84-J84</f>
        <v>16010.5263157895</v>
      </c>
    </row>
    <row r="85" customFormat="false" ht="21" hidden="false" customHeight="true" outlineLevel="0" collapsed="false">
      <c r="C85" s="144" t="n">
        <f aca="false">46419</f>
        <v>46419</v>
      </c>
      <c r="D85" s="81" t="n">
        <f aca="false">1</f>
        <v>1</v>
      </c>
      <c r="E85" s="81" t="str">
        <f aca="false">'W Programs'!C15</f>
        <v>WOO IP</v>
      </c>
      <c r="F85" s="81" t="str">
        <f aca="false">'W Programs'!D15</f>
        <v>Workshops</v>
      </c>
      <c r="G85" s="145" t="n">
        <f aca="false">INDEX('W Programs'!$F$15:$H$15,1,D85)*INDEX('W Assumptions'!$D$7:$F$7,1,D85)*'W Assumptions'!D100/SUM('W Assumptions'!D$95:D$106)</f>
        <v>6.15789473684211</v>
      </c>
      <c r="H85" s="81" t="n">
        <f aca="false">G85*INDEX('W Programs'!$I$15:$K$15,1,D85)*INDEX('W Assumptions'!$D$12:$F$12,1,D85)</f>
        <v>24631.5789473684</v>
      </c>
      <c r="I85" s="81" t="n">
        <f aca="false">H85*CHOOSE(D85,'W Programs'!L15,'W Programs'!Q15,'W Programs'!R15)*INDEX('W Assumptions'!$D$17:$F$17,1,D85)</f>
        <v>11084.2105263158</v>
      </c>
      <c r="J85" s="81" t="n">
        <f aca="false">H85*'W Programs'!$M$15*'W Programs'!$O$15</f>
        <v>0</v>
      </c>
      <c r="K85" s="149" t="n">
        <f aca="false">'W Programs'!$N$15</f>
        <v>0.7</v>
      </c>
      <c r="L85" s="81" t="n">
        <f aca="false">H85*K85+H57*(1-K85)</f>
        <v>22784.2105263158</v>
      </c>
      <c r="M85" s="81" t="n">
        <f aca="false">L85*'W Programs'!$M$15*'W Programs'!$O$15</f>
        <v>0</v>
      </c>
      <c r="N85" s="81" t="n">
        <f aca="false">I85*'W Assumptions'!$D$55+I71*(1-'W Assumptions'!$D$55)</f>
        <v>11084.2105263158</v>
      </c>
      <c r="O85" s="81" t="n">
        <f aca="false">H85-I85-J85</f>
        <v>13547.3684210526</v>
      </c>
    </row>
    <row r="86" customFormat="false" ht="21" hidden="false" customHeight="true" outlineLevel="0" collapsed="false">
      <c r="C86" s="144" t="n">
        <f aca="false">46419</f>
        <v>46419</v>
      </c>
      <c r="D86" s="81" t="n">
        <f aca="false">1</f>
        <v>1</v>
      </c>
      <c r="E86" s="81" t="str">
        <f aca="false">'W Programs'!C16</f>
        <v>WOO IP</v>
      </c>
      <c r="F86" s="81" t="str">
        <f aca="false">'W Programs'!D16</f>
        <v>Installations</v>
      </c>
      <c r="G86" s="145" t="n">
        <f aca="false">INDEX('W Programs'!$F$16:$H$16,1,D86)*INDEX('W Assumptions'!$D$7:$F$7,1,D86)*'W Assumptions'!D100/SUM('W Assumptions'!D$95:D$106)</f>
        <v>0.068421052631579</v>
      </c>
      <c r="H86" s="81" t="n">
        <f aca="false">G86*INDEX('W Programs'!$I$16:$K$16,1,D86)*INDEX('W Assumptions'!$D$12:$F$12,1,D86)</f>
        <v>17105.2631578947</v>
      </c>
      <c r="I86" s="81" t="n">
        <f aca="false">H86*CHOOSE(D86,'W Programs'!L16,'W Programs'!Q16,'W Programs'!R16)*INDEX('W Assumptions'!$D$17:$F$17,1,D86)</f>
        <v>11118.4210526316</v>
      </c>
      <c r="J86" s="81" t="n">
        <f aca="false">H86*'W Programs'!$M$16*'W Programs'!$O$16</f>
        <v>0</v>
      </c>
      <c r="K86" s="149" t="n">
        <f aca="false">'W Programs'!$N$16</f>
        <v>0.3</v>
      </c>
      <c r="L86" s="81" t="n">
        <f aca="false">H86*K86+H58*(1-K86)</f>
        <v>14111.8421052632</v>
      </c>
      <c r="M86" s="81" t="n">
        <f aca="false">L86*'W Programs'!$M$16*'W Programs'!$O$16</f>
        <v>0</v>
      </c>
      <c r="N86" s="81" t="n">
        <f aca="false">I86*'W Assumptions'!$D$55+I72*(1-'W Assumptions'!$D$55)</f>
        <v>11118.4210526316</v>
      </c>
      <c r="O86" s="81" t="n">
        <f aca="false">H86-I86-J86</f>
        <v>5986.84210526316</v>
      </c>
    </row>
    <row r="87" customFormat="false" ht="21" hidden="false" customHeight="true" outlineLevel="0" collapsed="false">
      <c r="C87" s="144" t="n">
        <f aca="false">46419</f>
        <v>46419</v>
      </c>
      <c r="D87" s="81" t="n">
        <f aca="false">1</f>
        <v>1</v>
      </c>
      <c r="E87" s="81" t="str">
        <f aca="false">'W Programs'!C17</f>
        <v>WOO IP</v>
      </c>
      <c r="F87" s="81" t="str">
        <f aca="false">'W Programs'!D17</f>
        <v>Digital</v>
      </c>
      <c r="G87" s="145" t="n">
        <f aca="false">INDEX('W Programs'!$F$17:$H$17,1,D87)*INDEX('W Assumptions'!$D$7:$F$7,1,D87)*'W Assumptions'!D100/SUM('W Assumptions'!D$95:D$106)</f>
        <v>27.3684210526316</v>
      </c>
      <c r="H87" s="81" t="n">
        <f aca="false">G87*INDEX('W Programs'!$I$17:$K$17,1,D87)*INDEX('W Assumptions'!$D$12:$F$12,1,D87)</f>
        <v>9578.94736842105</v>
      </c>
      <c r="I87" s="81" t="n">
        <f aca="false">H87*CHOOSE(D87,'W Programs'!L17,'W Programs'!Q17,'W Programs'!R17)*INDEX('W Assumptions'!$D$17:$F$17,1,D87)</f>
        <v>1915.78947368421</v>
      </c>
      <c r="J87" s="81" t="n">
        <f aca="false">H87*'W Programs'!$M$17*'W Programs'!$O$17</f>
        <v>0</v>
      </c>
      <c r="K87" s="149" t="n">
        <f aca="false">'W Programs'!$N$17</f>
        <v>1</v>
      </c>
      <c r="L87" s="81" t="n">
        <f aca="false">H87*K87+H59*(1-K87)</f>
        <v>9578.94736842105</v>
      </c>
      <c r="M87" s="81" t="n">
        <f aca="false">L87*'W Programs'!$M$17*'W Programs'!$O$17</f>
        <v>0</v>
      </c>
      <c r="N87" s="81" t="n">
        <f aca="false">I87*'W Assumptions'!$D$55+I73*(1-'W Assumptions'!$D$55)</f>
        <v>1915.78947368421</v>
      </c>
      <c r="O87" s="81" t="n">
        <f aca="false">H87-I87-J87</f>
        <v>7663.15789473684</v>
      </c>
    </row>
    <row r="88" customFormat="false" ht="21" hidden="false" customHeight="true" outlineLevel="0" collapsed="false">
      <c r="C88" s="144" t="n">
        <f aca="false">46419</f>
        <v>46419</v>
      </c>
      <c r="D88" s="81" t="n">
        <f aca="false">1</f>
        <v>1</v>
      </c>
      <c r="E88" s="81" t="str">
        <f aca="false">'W Programs'!C18</f>
        <v>WOO IP</v>
      </c>
      <c r="F88" s="81" t="str">
        <f aca="false">'W Programs'!D18</f>
        <v>Retail</v>
      </c>
      <c r="G88" s="145" t="n">
        <f aca="false">INDEX('W Programs'!$F$18:$H$18,1,D88)*INDEX('W Assumptions'!$D$7:$F$7,1,D88)*'W Assumptions'!D100/SUM('W Assumptions'!D$95:D$106)</f>
        <v>82.1052631578947</v>
      </c>
      <c r="H88" s="81" t="n">
        <f aca="false">G88*INDEX('W Programs'!$I$18:$K$18,1,D88)*INDEX('W Assumptions'!$D$12:$F$12,1,D88)</f>
        <v>19705.2631578947</v>
      </c>
      <c r="I88" s="81" t="n">
        <f aca="false">H88*CHOOSE(D88,'W Programs'!L18,'W Programs'!Q18,'W Programs'!R18)*INDEX('W Assumptions'!$D$17:$F$17,1,D88)</f>
        <v>10837.8947368421</v>
      </c>
      <c r="J88" s="81" t="n">
        <f aca="false">H88*'W Programs'!$M$18*'W Programs'!$O$18</f>
        <v>0</v>
      </c>
      <c r="K88" s="149" t="n">
        <f aca="false">'W Programs'!$N$18</f>
        <v>1</v>
      </c>
      <c r="L88" s="81" t="n">
        <f aca="false">H88*K88+H60*(1-K88)</f>
        <v>19705.2631578947</v>
      </c>
      <c r="M88" s="81" t="n">
        <f aca="false">L88*'W Programs'!$M$18*'W Programs'!$O$18</f>
        <v>0</v>
      </c>
      <c r="N88" s="81" t="n">
        <f aca="false">I88*'W Assumptions'!$D$55+I74*(1-'W Assumptions'!$D$55)</f>
        <v>10837.8947368421</v>
      </c>
      <c r="O88" s="81" t="n">
        <f aca="false">H88-I88-J88</f>
        <v>8867.36842105263</v>
      </c>
    </row>
    <row r="89" customFormat="false" ht="21" hidden="false" customHeight="true" outlineLevel="0" collapsed="false">
      <c r="C89" s="144" t="n">
        <f aca="false">46419</f>
        <v>46419</v>
      </c>
      <c r="D89" s="81" t="n">
        <f aca="false">1</f>
        <v>1</v>
      </c>
      <c r="E89" s="81" t="str">
        <f aca="false">'W Programs'!C19</f>
        <v>WOO IP</v>
      </c>
      <c r="F89" s="81" t="str">
        <f aca="false">'W Programs'!D19</f>
        <v>Licensing</v>
      </c>
      <c r="G89" s="145" t="n">
        <f aca="false">INDEX('W Programs'!$F$19:$H$19,1,D89)*INDEX('W Assumptions'!$D$7:$F$7,1,D89)*'W Assumptions'!D100/SUM('W Assumptions'!D$95:D$106)</f>
        <v>0.068421052631579</v>
      </c>
      <c r="H89" s="81" t="n">
        <f aca="false">G89*INDEX('W Programs'!$I$19:$K$19,1,D89)*INDEX('W Assumptions'!$D$12:$F$12,1,D89)</f>
        <v>6842.1052631579</v>
      </c>
      <c r="I89" s="81" t="n">
        <f aca="false">H89*CHOOSE(D89,'W Programs'!L19,'W Programs'!Q19,'W Programs'!R19)*INDEX('W Assumptions'!$D$17:$F$17,1,D89)</f>
        <v>1026.31578947368</v>
      </c>
      <c r="J89" s="81" t="n">
        <f aca="false">H89*'W Programs'!$M$19*'W Programs'!$O$19</f>
        <v>0</v>
      </c>
      <c r="K89" s="149" t="n">
        <f aca="false">'W Programs'!$N$19</f>
        <v>0.3</v>
      </c>
      <c r="L89" s="81" t="n">
        <f aca="false">H89*K89+H61*(1-K89)</f>
        <v>5644.73684210526</v>
      </c>
      <c r="M89" s="81" t="n">
        <f aca="false">L89*'W Programs'!$M$19*'W Programs'!$O$19</f>
        <v>0</v>
      </c>
      <c r="N89" s="81" t="n">
        <f aca="false">I89*'W Assumptions'!$D$55+I75*(1-'W Assumptions'!$D$55)</f>
        <v>1026.31578947368</v>
      </c>
      <c r="O89" s="81" t="n">
        <f aca="false">H89-I89-J89</f>
        <v>5815.78947368421</v>
      </c>
    </row>
    <row r="90" customFormat="false" ht="21" hidden="false" customHeight="true" outlineLevel="0" collapsed="false">
      <c r="C90" s="144" t="n">
        <f aca="false">46447</f>
        <v>46447</v>
      </c>
      <c r="D90" s="81" t="n">
        <f aca="false">1</f>
        <v>1</v>
      </c>
      <c r="E90" s="81" t="str">
        <f aca="false">'W Programs'!C6</f>
        <v>TLI</v>
      </c>
      <c r="F90" s="81" t="str">
        <f aca="false">'W Programs'!D6</f>
        <v>Schools</v>
      </c>
      <c r="G90" s="145" t="n">
        <f aca="false">INDEX('W Programs'!$F$6:$H$6,1,D90)*INDEX('W Assumptions'!$D$7:$F$7,1,D90)*'W Assumptions'!D101/SUM('W Assumptions'!D$95:D$106)</f>
        <v>0.221052631578947</v>
      </c>
      <c r="H90" s="81" t="n">
        <f aca="false">G90*INDEX('W Programs'!$I$6:$K$6,1,D90)*INDEX('W Assumptions'!$D$12:$F$12,1,D90)</f>
        <v>30947.3684210526</v>
      </c>
      <c r="I90" s="81" t="n">
        <f aca="false">H90*CHOOSE(D90,'W Programs'!L6,'W Programs'!Q6,'W Programs'!R6)*INDEX('W Assumptions'!$D$17:$F$17,1,D90)</f>
        <v>12997.8947368421</v>
      </c>
      <c r="J90" s="81" t="n">
        <f aca="false">H90*'W Programs'!$M$6*'W Programs'!$O$6</f>
        <v>0</v>
      </c>
      <c r="K90" s="149" t="n">
        <f aca="false">'W Programs'!$N$6</f>
        <v>0.3</v>
      </c>
      <c r="L90" s="81" t="n">
        <f aca="false">H90*K90+H62*(1-K90)</f>
        <v>30947.3684210526</v>
      </c>
      <c r="M90" s="81" t="n">
        <f aca="false">L90*'W Programs'!$M$6*'W Programs'!$O$6</f>
        <v>0</v>
      </c>
      <c r="N90" s="81" t="n">
        <f aca="false">I90*'W Assumptions'!$D$55+I76*(1-'W Assumptions'!$D$55)</f>
        <v>12997.8947368421</v>
      </c>
      <c r="O90" s="81" t="n">
        <f aca="false">H90-I90-J90</f>
        <v>17949.4736842105</v>
      </c>
    </row>
    <row r="91" customFormat="false" ht="21" hidden="false" customHeight="true" outlineLevel="0" collapsed="false">
      <c r="C91" s="144" t="n">
        <f aca="false">46447</f>
        <v>46447</v>
      </c>
      <c r="D91" s="81" t="n">
        <f aca="false">1</f>
        <v>1</v>
      </c>
      <c r="E91" s="81" t="str">
        <f aca="false">'W Programs'!C7</f>
        <v>TLI</v>
      </c>
      <c r="F91" s="81" t="str">
        <f aca="false">'W Programs'!D7</f>
        <v>Activations</v>
      </c>
      <c r="G91" s="145" t="n">
        <f aca="false">INDEX('W Programs'!$F$7:$H$7,1,D91)*INDEX('W Assumptions'!$D$7:$F$7,1,D91)*'W Assumptions'!D101/SUM('W Assumptions'!D$95:D$106)</f>
        <v>0.294736842105263</v>
      </c>
      <c r="H91" s="81" t="n">
        <f aca="false">G91*INDEX('W Programs'!$I$7:$K$7,1,D91)*INDEX('W Assumptions'!$D$12:$F$12,1,D91)</f>
        <v>19157.8947368421</v>
      </c>
      <c r="I91" s="81" t="n">
        <f aca="false">H91*CHOOSE(D91,'W Programs'!L7,'W Programs'!Q7,'W Programs'!R7)*INDEX('W Assumptions'!$D$17:$F$17,1,D91)</f>
        <v>10536.8421052632</v>
      </c>
      <c r="J91" s="81" t="n">
        <f aca="false">H91*'W Programs'!$M$7*'W Programs'!$O$7</f>
        <v>0</v>
      </c>
      <c r="K91" s="149" t="n">
        <f aca="false">'W Programs'!$N$7</f>
        <v>0.3</v>
      </c>
      <c r="L91" s="81" t="n">
        <f aca="false">H91*K91+H63*(1-K91)</f>
        <v>19157.8947368421</v>
      </c>
      <c r="M91" s="81" t="n">
        <f aca="false">L91*'W Programs'!$M$7*'W Programs'!$O$7</f>
        <v>0</v>
      </c>
      <c r="N91" s="81" t="n">
        <f aca="false">I91*'W Assumptions'!$D$55+I77*(1-'W Assumptions'!$D$55)</f>
        <v>10536.8421052632</v>
      </c>
      <c r="O91" s="81" t="n">
        <f aca="false">H91-I91-J91</f>
        <v>8621.05263157895</v>
      </c>
    </row>
    <row r="92" customFormat="false" ht="21" hidden="false" customHeight="true" outlineLevel="0" collapsed="false">
      <c r="C92" s="144" t="n">
        <f aca="false">46447</f>
        <v>46447</v>
      </c>
      <c r="D92" s="81" t="n">
        <f aca="false">1</f>
        <v>1</v>
      </c>
      <c r="E92" s="81" t="str">
        <f aca="false">'W Programs'!C8</f>
        <v>TLI</v>
      </c>
      <c r="F92" s="81" t="str">
        <f aca="false">'W Programs'!D8</f>
        <v>Workshops</v>
      </c>
      <c r="G92" s="145" t="n">
        <f aca="false">INDEX('W Programs'!$F$8:$H$8,1,D92)*INDEX('W Assumptions'!$D$7:$F$7,1,D92)*'W Assumptions'!D101/SUM('W Assumptions'!D$95:D$106)</f>
        <v>3.31578947368421</v>
      </c>
      <c r="H92" s="81" t="n">
        <f aca="false">G92*INDEX('W Programs'!$I$8:$K$8,1,D92)*INDEX('W Assumptions'!$D$12:$F$12,1,D92)</f>
        <v>13263.1578947368</v>
      </c>
      <c r="I92" s="81" t="n">
        <f aca="false">H92*CHOOSE(D92,'W Programs'!L8,'W Programs'!Q8,'W Programs'!R8)*INDEX('W Assumptions'!$D$17:$F$17,1,D92)</f>
        <v>5968.42105263158</v>
      </c>
      <c r="J92" s="81" t="n">
        <f aca="false">H92*'W Programs'!$M$8*'W Programs'!$O$8</f>
        <v>0</v>
      </c>
      <c r="K92" s="149" t="n">
        <f aca="false">'W Programs'!$N$8</f>
        <v>0.7</v>
      </c>
      <c r="L92" s="81" t="n">
        <f aca="false">H92*K92+H64*(1-K92)</f>
        <v>13263.1578947368</v>
      </c>
      <c r="M92" s="81" t="n">
        <f aca="false">L92*'W Programs'!$M$8*'W Programs'!$O$8</f>
        <v>0</v>
      </c>
      <c r="N92" s="81" t="n">
        <f aca="false">I92*'W Assumptions'!$D$55+I78*(1-'W Assumptions'!$D$55)</f>
        <v>5968.42105263158</v>
      </c>
      <c r="O92" s="81" t="n">
        <f aca="false">H92-I92-J92</f>
        <v>7294.73684210526</v>
      </c>
    </row>
    <row r="93" customFormat="false" ht="21" hidden="false" customHeight="true" outlineLevel="0" collapsed="false">
      <c r="C93" s="144" t="n">
        <f aca="false">46447</f>
        <v>46447</v>
      </c>
      <c r="D93" s="81" t="n">
        <f aca="false">1</f>
        <v>1</v>
      </c>
      <c r="E93" s="81" t="str">
        <f aca="false">'W Programs'!C9</f>
        <v>TLI</v>
      </c>
      <c r="F93" s="81" t="str">
        <f aca="false">'W Programs'!D9</f>
        <v>Installations</v>
      </c>
      <c r="G93" s="145" t="n">
        <f aca="false">INDEX('W Programs'!$F$9:$H$9,1,D93)*INDEX('W Assumptions'!$D$7:$F$7,1,D93)*'W Assumptions'!D101/SUM('W Assumptions'!D$95:D$106)</f>
        <v>0.0368421052631579</v>
      </c>
      <c r="H93" s="81" t="n">
        <f aca="false">G93*INDEX('W Programs'!$I$9:$K$9,1,D93)*INDEX('W Assumptions'!$D$12:$F$12,1,D93)</f>
        <v>9210.52631578947</v>
      </c>
      <c r="I93" s="81" t="n">
        <f aca="false">H93*CHOOSE(D93,'W Programs'!L9,'W Programs'!Q9,'W Programs'!R9)*INDEX('W Assumptions'!$D$17:$F$17,1,D93)</f>
        <v>5986.84210526316</v>
      </c>
      <c r="J93" s="81" t="n">
        <f aca="false">H93*'W Programs'!$M$9*'W Programs'!$O$9</f>
        <v>0</v>
      </c>
      <c r="K93" s="149" t="n">
        <f aca="false">'W Programs'!$N$9</f>
        <v>0.3</v>
      </c>
      <c r="L93" s="81" t="n">
        <f aca="false">H93*K93+H65*(1-K93)</f>
        <v>9210.52631578947</v>
      </c>
      <c r="M93" s="81" t="n">
        <f aca="false">L93*'W Programs'!$M$9*'W Programs'!$O$9</f>
        <v>0</v>
      </c>
      <c r="N93" s="81" t="n">
        <f aca="false">I93*'W Assumptions'!$D$55+I79*(1-'W Assumptions'!$D$55)</f>
        <v>5986.84210526316</v>
      </c>
      <c r="O93" s="81" t="n">
        <f aca="false">H93-I93-J93</f>
        <v>3223.68421052632</v>
      </c>
    </row>
    <row r="94" customFormat="false" ht="21" hidden="false" customHeight="true" outlineLevel="0" collapsed="false">
      <c r="C94" s="144" t="n">
        <f aca="false">46447</f>
        <v>46447</v>
      </c>
      <c r="D94" s="81" t="n">
        <f aca="false">1</f>
        <v>1</v>
      </c>
      <c r="E94" s="81" t="str">
        <f aca="false">'W Programs'!C10</f>
        <v>TLI</v>
      </c>
      <c r="F94" s="81" t="str">
        <f aca="false">'W Programs'!D10</f>
        <v>Digital</v>
      </c>
      <c r="G94" s="145" t="n">
        <f aca="false">INDEX('W Programs'!$F$10:$H$10,1,D94)*INDEX('W Assumptions'!$D$7:$F$7,1,D94)*'W Assumptions'!D101/SUM('W Assumptions'!D$95:D$106)</f>
        <v>14.7368421052632</v>
      </c>
      <c r="H94" s="81" t="n">
        <f aca="false">G94*INDEX('W Programs'!$I$10:$K$10,1,D94)*INDEX('W Assumptions'!$D$12:$F$12,1,D94)</f>
        <v>5157.89473684211</v>
      </c>
      <c r="I94" s="81" t="n">
        <f aca="false">H94*CHOOSE(D94,'W Programs'!L10,'W Programs'!Q10,'W Programs'!R10)*INDEX('W Assumptions'!$D$17:$F$17,1,D94)</f>
        <v>1031.57894736842</v>
      </c>
      <c r="J94" s="81" t="n">
        <f aca="false">H94*'W Programs'!$M$10*'W Programs'!$O$10</f>
        <v>0</v>
      </c>
      <c r="K94" s="149" t="n">
        <f aca="false">'W Programs'!$N$10</f>
        <v>1</v>
      </c>
      <c r="L94" s="81" t="n">
        <f aca="false">H94*K94+H66*(1-K94)</f>
        <v>5157.89473684211</v>
      </c>
      <c r="M94" s="81" t="n">
        <f aca="false">L94*'W Programs'!$M$10*'W Programs'!$O$10</f>
        <v>0</v>
      </c>
      <c r="N94" s="81" t="n">
        <f aca="false">I94*'W Assumptions'!$D$55+I80*(1-'W Assumptions'!$D$55)</f>
        <v>1031.57894736842</v>
      </c>
      <c r="O94" s="81" t="n">
        <f aca="false">H94-I94-J94</f>
        <v>4126.31578947368</v>
      </c>
    </row>
    <row r="95" customFormat="false" ht="21" hidden="false" customHeight="true" outlineLevel="0" collapsed="false">
      <c r="C95" s="144" t="n">
        <f aca="false">46447</f>
        <v>46447</v>
      </c>
      <c r="D95" s="81" t="n">
        <f aca="false">1</f>
        <v>1</v>
      </c>
      <c r="E95" s="81" t="str">
        <f aca="false">'W Programs'!C11</f>
        <v>TLI</v>
      </c>
      <c r="F95" s="81" t="str">
        <f aca="false">'W Programs'!D11</f>
        <v>Retail</v>
      </c>
      <c r="G95" s="145" t="n">
        <f aca="false">INDEX('W Programs'!$F$11:$H$11,1,D95)*INDEX('W Assumptions'!$D$7:$F$7,1,D95)*'W Assumptions'!D101/SUM('W Assumptions'!D$95:D$106)</f>
        <v>44.2105263157895</v>
      </c>
      <c r="H95" s="81" t="n">
        <f aca="false">G95*INDEX('W Programs'!$I$11:$K$11,1,D95)*INDEX('W Assumptions'!$D$12:$F$12,1,D95)</f>
        <v>10610.5263157895</v>
      </c>
      <c r="I95" s="81" t="n">
        <f aca="false">H95*CHOOSE(D95,'W Programs'!L11,'W Programs'!Q11,'W Programs'!R11)*INDEX('W Assumptions'!$D$17:$F$17,1,D95)</f>
        <v>5835.78947368421</v>
      </c>
      <c r="J95" s="81" t="n">
        <f aca="false">H95*'W Programs'!$M$11*'W Programs'!$O$11</f>
        <v>0</v>
      </c>
      <c r="K95" s="149" t="n">
        <f aca="false">'W Programs'!$N$11</f>
        <v>1</v>
      </c>
      <c r="L95" s="81" t="n">
        <f aca="false">H95*K95+H67*(1-K95)</f>
        <v>10610.5263157895</v>
      </c>
      <c r="M95" s="81" t="n">
        <f aca="false">L95*'W Programs'!$M$11*'W Programs'!$O$11</f>
        <v>0</v>
      </c>
      <c r="N95" s="81" t="n">
        <f aca="false">I95*'W Assumptions'!$D$55+I81*(1-'W Assumptions'!$D$55)</f>
        <v>5835.78947368421</v>
      </c>
      <c r="O95" s="81" t="n">
        <f aca="false">H95-I95-J95</f>
        <v>4774.73684210526</v>
      </c>
    </row>
    <row r="96" customFormat="false" ht="21" hidden="false" customHeight="true" outlineLevel="0" collapsed="false">
      <c r="C96" s="144" t="n">
        <f aca="false">46447</f>
        <v>46447</v>
      </c>
      <c r="D96" s="81" t="n">
        <f aca="false">1</f>
        <v>1</v>
      </c>
      <c r="E96" s="81" t="str">
        <f aca="false">'W Programs'!C12</f>
        <v>TLI</v>
      </c>
      <c r="F96" s="81" t="str">
        <f aca="false">'W Programs'!D12</f>
        <v>Licensing</v>
      </c>
      <c r="G96" s="145" t="n">
        <f aca="false">INDEX('W Programs'!$F$12:$H$12,1,D96)*INDEX('W Assumptions'!$D$7:$F$7,1,D96)*'W Assumptions'!D101/SUM('W Assumptions'!D$95:D$106)</f>
        <v>0.0368421052631579</v>
      </c>
      <c r="H96" s="81" t="n">
        <f aca="false">G96*INDEX('W Programs'!$I$12:$K$12,1,D96)*INDEX('W Assumptions'!$D$12:$F$12,1,D96)</f>
        <v>3684.21052631579</v>
      </c>
      <c r="I96" s="81" t="n">
        <f aca="false">H96*CHOOSE(D96,'W Programs'!L12,'W Programs'!Q12,'W Programs'!R12)*INDEX('W Assumptions'!$D$17:$F$17,1,D96)</f>
        <v>552.631578947368</v>
      </c>
      <c r="J96" s="81" t="n">
        <f aca="false">H96*'W Programs'!$M$12*'W Programs'!$O$12</f>
        <v>0</v>
      </c>
      <c r="K96" s="149" t="n">
        <f aca="false">'W Programs'!$N$12</f>
        <v>0.3</v>
      </c>
      <c r="L96" s="81" t="n">
        <f aca="false">H96*K96+H68*(1-K96)</f>
        <v>3684.21052631579</v>
      </c>
      <c r="M96" s="81" t="n">
        <f aca="false">L96*'W Programs'!$M$12*'W Programs'!$O$12</f>
        <v>0</v>
      </c>
      <c r="N96" s="81" t="n">
        <f aca="false">I96*'W Assumptions'!$D$55+I82*(1-'W Assumptions'!$D$55)</f>
        <v>552.631578947368</v>
      </c>
      <c r="O96" s="81" t="n">
        <f aca="false">H96-I96-J96</f>
        <v>3131.57894736842</v>
      </c>
    </row>
    <row r="97" customFormat="false" ht="21" hidden="false" customHeight="true" outlineLevel="0" collapsed="false">
      <c r="C97" s="144" t="n">
        <f aca="false">46447</f>
        <v>46447</v>
      </c>
      <c r="D97" s="81" t="n">
        <f aca="false">1</f>
        <v>1</v>
      </c>
      <c r="E97" s="81" t="str">
        <f aca="false">'W Programs'!C13</f>
        <v>WOO IP</v>
      </c>
      <c r="F97" s="81" t="str">
        <f aca="false">'W Programs'!D13</f>
        <v>Schools</v>
      </c>
      <c r="G97" s="145" t="n">
        <f aca="false">INDEX('W Programs'!$F$13:$H$13,1,D97)*INDEX('W Assumptions'!$D$7:$F$7,1,D97)*'W Assumptions'!D101/SUM('W Assumptions'!D$95:D$106)</f>
        <v>0.410526315789474</v>
      </c>
      <c r="H97" s="81" t="n">
        <f aca="false">G97*INDEX('W Programs'!$I$13:$K$13,1,D97)*INDEX('W Assumptions'!$D$12:$F$12,1,D97)</f>
        <v>57473.6842105263</v>
      </c>
      <c r="I97" s="81" t="n">
        <f aca="false">H97*CHOOSE(D97,'W Programs'!L13,'W Programs'!Q13,'W Programs'!R13)*INDEX('W Assumptions'!$D$17:$F$17,1,D97)</f>
        <v>24138.9473684211</v>
      </c>
      <c r="J97" s="81" t="n">
        <f aca="false">H97*'W Programs'!$M$13*'W Programs'!$O$13</f>
        <v>0</v>
      </c>
      <c r="K97" s="149" t="n">
        <f aca="false">'W Programs'!$N$13</f>
        <v>0.3</v>
      </c>
      <c r="L97" s="81" t="n">
        <f aca="false">H97*K97+H69*(1-K97)</f>
        <v>57473.6842105263</v>
      </c>
      <c r="M97" s="81" t="n">
        <f aca="false">L97*'W Programs'!$M$13*'W Programs'!$O$13</f>
        <v>0</v>
      </c>
      <c r="N97" s="81" t="n">
        <f aca="false">I97*'W Assumptions'!$D$55+I83*(1-'W Assumptions'!$D$55)</f>
        <v>24138.9473684211</v>
      </c>
      <c r="O97" s="81" t="n">
        <f aca="false">H97-I97-J97</f>
        <v>33334.7368421053</v>
      </c>
    </row>
    <row r="98" customFormat="false" ht="21" hidden="false" customHeight="true" outlineLevel="0" collapsed="false">
      <c r="C98" s="144" t="n">
        <f aca="false">46447</f>
        <v>46447</v>
      </c>
      <c r="D98" s="81" t="n">
        <f aca="false">1</f>
        <v>1</v>
      </c>
      <c r="E98" s="81" t="str">
        <f aca="false">'W Programs'!C14</f>
        <v>WOO IP</v>
      </c>
      <c r="F98" s="81" t="str">
        <f aca="false">'W Programs'!D14</f>
        <v>Activations</v>
      </c>
      <c r="G98" s="145" t="n">
        <f aca="false">INDEX('W Programs'!$F$14:$H$14,1,D98)*INDEX('W Assumptions'!$D$7:$F$7,1,D98)*'W Assumptions'!D101/SUM('W Assumptions'!D$95:D$106)</f>
        <v>0.547368421052632</v>
      </c>
      <c r="H98" s="81" t="n">
        <f aca="false">G98*INDEX('W Programs'!$I$14:$K$14,1,D98)*INDEX('W Assumptions'!$D$12:$F$12,1,D98)</f>
        <v>35578.9473684211</v>
      </c>
      <c r="I98" s="81" t="n">
        <f aca="false">H98*CHOOSE(D98,'W Programs'!L14,'W Programs'!Q14,'W Programs'!R14)*INDEX('W Assumptions'!$D$17:$F$17,1,D98)</f>
        <v>19568.4210526316</v>
      </c>
      <c r="J98" s="81" t="n">
        <f aca="false">H98*'W Programs'!$M$14*'W Programs'!$O$14</f>
        <v>0</v>
      </c>
      <c r="K98" s="149" t="n">
        <f aca="false">'W Programs'!$N$14</f>
        <v>0.3</v>
      </c>
      <c r="L98" s="81" t="n">
        <f aca="false">H98*K98+H70*(1-K98)</f>
        <v>35578.9473684211</v>
      </c>
      <c r="M98" s="81" t="n">
        <f aca="false">L98*'W Programs'!$M$14*'W Programs'!$O$14</f>
        <v>0</v>
      </c>
      <c r="N98" s="81" t="n">
        <f aca="false">I98*'W Assumptions'!$D$55+I84*(1-'W Assumptions'!$D$55)</f>
        <v>19568.4210526316</v>
      </c>
      <c r="O98" s="81" t="n">
        <f aca="false">H98-I98-J98</f>
        <v>16010.5263157895</v>
      </c>
    </row>
    <row r="99" customFormat="false" ht="21" hidden="false" customHeight="true" outlineLevel="0" collapsed="false">
      <c r="C99" s="144" t="n">
        <f aca="false">46447</f>
        <v>46447</v>
      </c>
      <c r="D99" s="81" t="n">
        <f aca="false">1</f>
        <v>1</v>
      </c>
      <c r="E99" s="81" t="str">
        <f aca="false">'W Programs'!C15</f>
        <v>WOO IP</v>
      </c>
      <c r="F99" s="81" t="str">
        <f aca="false">'W Programs'!D15</f>
        <v>Workshops</v>
      </c>
      <c r="G99" s="145" t="n">
        <f aca="false">INDEX('W Programs'!$F$15:$H$15,1,D99)*INDEX('W Assumptions'!$D$7:$F$7,1,D99)*'W Assumptions'!D101/SUM('W Assumptions'!D$95:D$106)</f>
        <v>6.15789473684211</v>
      </c>
      <c r="H99" s="81" t="n">
        <f aca="false">G99*INDEX('W Programs'!$I$15:$K$15,1,D99)*INDEX('W Assumptions'!$D$12:$F$12,1,D99)</f>
        <v>24631.5789473684</v>
      </c>
      <c r="I99" s="81" t="n">
        <f aca="false">H99*CHOOSE(D99,'W Programs'!L15,'W Programs'!Q15,'W Programs'!R15)*INDEX('W Assumptions'!$D$17:$F$17,1,D99)</f>
        <v>11084.2105263158</v>
      </c>
      <c r="J99" s="81" t="n">
        <f aca="false">H99*'W Programs'!$M$15*'W Programs'!$O$15</f>
        <v>0</v>
      </c>
      <c r="K99" s="149" t="n">
        <f aca="false">'W Programs'!$N$15</f>
        <v>0.7</v>
      </c>
      <c r="L99" s="81" t="n">
        <f aca="false">H99*K99+H71*(1-K99)</f>
        <v>24631.5789473684</v>
      </c>
      <c r="M99" s="81" t="n">
        <f aca="false">L99*'W Programs'!$M$15*'W Programs'!$O$15</f>
        <v>0</v>
      </c>
      <c r="N99" s="81" t="n">
        <f aca="false">I99*'W Assumptions'!$D$55+I85*(1-'W Assumptions'!$D$55)</f>
        <v>11084.2105263158</v>
      </c>
      <c r="O99" s="81" t="n">
        <f aca="false">H99-I99-J99</f>
        <v>13547.3684210526</v>
      </c>
    </row>
    <row r="100" customFormat="false" ht="21" hidden="false" customHeight="true" outlineLevel="0" collapsed="false">
      <c r="C100" s="144" t="n">
        <f aca="false">46447</f>
        <v>46447</v>
      </c>
      <c r="D100" s="81" t="n">
        <f aca="false">1</f>
        <v>1</v>
      </c>
      <c r="E100" s="81" t="str">
        <f aca="false">'W Programs'!C16</f>
        <v>WOO IP</v>
      </c>
      <c r="F100" s="81" t="str">
        <f aca="false">'W Programs'!D16</f>
        <v>Installations</v>
      </c>
      <c r="G100" s="145" t="n">
        <f aca="false">INDEX('W Programs'!$F$16:$H$16,1,D100)*INDEX('W Assumptions'!$D$7:$F$7,1,D100)*'W Assumptions'!D101/SUM('W Assumptions'!D$95:D$106)</f>
        <v>0.068421052631579</v>
      </c>
      <c r="H100" s="81" t="n">
        <f aca="false">G100*INDEX('W Programs'!$I$16:$K$16,1,D100)*INDEX('W Assumptions'!$D$12:$F$12,1,D100)</f>
        <v>17105.2631578947</v>
      </c>
      <c r="I100" s="81" t="n">
        <f aca="false">H100*CHOOSE(D100,'W Programs'!L16,'W Programs'!Q16,'W Programs'!R16)*INDEX('W Assumptions'!$D$17:$F$17,1,D100)</f>
        <v>11118.4210526316</v>
      </c>
      <c r="J100" s="81" t="n">
        <f aca="false">H100*'W Programs'!$M$16*'W Programs'!$O$16</f>
        <v>0</v>
      </c>
      <c r="K100" s="149" t="n">
        <f aca="false">'W Programs'!$N$16</f>
        <v>0.3</v>
      </c>
      <c r="L100" s="81" t="n">
        <f aca="false">H100*K100+H72*(1-K100)</f>
        <v>17105.2631578947</v>
      </c>
      <c r="M100" s="81" t="n">
        <f aca="false">L100*'W Programs'!$M$16*'W Programs'!$O$16</f>
        <v>0</v>
      </c>
      <c r="N100" s="81" t="n">
        <f aca="false">I100*'W Assumptions'!$D$55+I86*(1-'W Assumptions'!$D$55)</f>
        <v>11118.4210526316</v>
      </c>
      <c r="O100" s="81" t="n">
        <f aca="false">H100-I100-J100</f>
        <v>5986.84210526316</v>
      </c>
    </row>
    <row r="101" customFormat="false" ht="21" hidden="false" customHeight="true" outlineLevel="0" collapsed="false">
      <c r="C101" s="144" t="n">
        <f aca="false">46447</f>
        <v>46447</v>
      </c>
      <c r="D101" s="81" t="n">
        <f aca="false">1</f>
        <v>1</v>
      </c>
      <c r="E101" s="81" t="str">
        <f aca="false">'W Programs'!C17</f>
        <v>WOO IP</v>
      </c>
      <c r="F101" s="81" t="str">
        <f aca="false">'W Programs'!D17</f>
        <v>Digital</v>
      </c>
      <c r="G101" s="145" t="n">
        <f aca="false">INDEX('W Programs'!$F$17:$H$17,1,D101)*INDEX('W Assumptions'!$D$7:$F$7,1,D101)*'W Assumptions'!D101/SUM('W Assumptions'!D$95:D$106)</f>
        <v>27.3684210526316</v>
      </c>
      <c r="H101" s="81" t="n">
        <f aca="false">G101*INDEX('W Programs'!$I$17:$K$17,1,D101)*INDEX('W Assumptions'!$D$12:$F$12,1,D101)</f>
        <v>9578.94736842105</v>
      </c>
      <c r="I101" s="81" t="n">
        <f aca="false">H101*CHOOSE(D101,'W Programs'!L17,'W Programs'!Q17,'W Programs'!R17)*INDEX('W Assumptions'!$D$17:$F$17,1,D101)</f>
        <v>1915.78947368421</v>
      </c>
      <c r="J101" s="81" t="n">
        <f aca="false">H101*'W Programs'!$M$17*'W Programs'!$O$17</f>
        <v>0</v>
      </c>
      <c r="K101" s="149" t="n">
        <f aca="false">'W Programs'!$N$17</f>
        <v>1</v>
      </c>
      <c r="L101" s="81" t="n">
        <f aca="false">H101*K101+H73*(1-K101)</f>
        <v>9578.94736842105</v>
      </c>
      <c r="M101" s="81" t="n">
        <f aca="false">L101*'W Programs'!$M$17*'W Programs'!$O$17</f>
        <v>0</v>
      </c>
      <c r="N101" s="81" t="n">
        <f aca="false">I101*'W Assumptions'!$D$55+I87*(1-'W Assumptions'!$D$55)</f>
        <v>1915.78947368421</v>
      </c>
      <c r="O101" s="81" t="n">
        <f aca="false">H101-I101-J101</f>
        <v>7663.15789473684</v>
      </c>
    </row>
    <row r="102" customFormat="false" ht="21" hidden="false" customHeight="true" outlineLevel="0" collapsed="false">
      <c r="C102" s="144" t="n">
        <f aca="false">46447</f>
        <v>46447</v>
      </c>
      <c r="D102" s="81" t="n">
        <f aca="false">1</f>
        <v>1</v>
      </c>
      <c r="E102" s="81" t="str">
        <f aca="false">'W Programs'!C18</f>
        <v>WOO IP</v>
      </c>
      <c r="F102" s="81" t="str">
        <f aca="false">'W Programs'!D18</f>
        <v>Retail</v>
      </c>
      <c r="G102" s="145" t="n">
        <f aca="false">INDEX('W Programs'!$F$18:$H$18,1,D102)*INDEX('W Assumptions'!$D$7:$F$7,1,D102)*'W Assumptions'!D101/SUM('W Assumptions'!D$95:D$106)</f>
        <v>82.1052631578947</v>
      </c>
      <c r="H102" s="81" t="n">
        <f aca="false">G102*INDEX('W Programs'!$I$18:$K$18,1,D102)*INDEX('W Assumptions'!$D$12:$F$12,1,D102)</f>
        <v>19705.2631578947</v>
      </c>
      <c r="I102" s="81" t="n">
        <f aca="false">H102*CHOOSE(D102,'W Programs'!L18,'W Programs'!Q18,'W Programs'!R18)*INDEX('W Assumptions'!$D$17:$F$17,1,D102)</f>
        <v>10837.8947368421</v>
      </c>
      <c r="J102" s="81" t="n">
        <f aca="false">H102*'W Programs'!$M$18*'W Programs'!$O$18</f>
        <v>0</v>
      </c>
      <c r="K102" s="149" t="n">
        <f aca="false">'W Programs'!$N$18</f>
        <v>1</v>
      </c>
      <c r="L102" s="81" t="n">
        <f aca="false">H102*K102+H74*(1-K102)</f>
        <v>19705.2631578947</v>
      </c>
      <c r="M102" s="81" t="n">
        <f aca="false">L102*'W Programs'!$M$18*'W Programs'!$O$18</f>
        <v>0</v>
      </c>
      <c r="N102" s="81" t="n">
        <f aca="false">I102*'W Assumptions'!$D$55+I88*(1-'W Assumptions'!$D$55)</f>
        <v>10837.8947368421</v>
      </c>
      <c r="O102" s="81" t="n">
        <f aca="false">H102-I102-J102</f>
        <v>8867.36842105263</v>
      </c>
    </row>
    <row r="103" customFormat="false" ht="21" hidden="false" customHeight="true" outlineLevel="0" collapsed="false">
      <c r="C103" s="144" t="n">
        <f aca="false">46447</f>
        <v>46447</v>
      </c>
      <c r="D103" s="81" t="n">
        <f aca="false">1</f>
        <v>1</v>
      </c>
      <c r="E103" s="81" t="str">
        <f aca="false">'W Programs'!C19</f>
        <v>WOO IP</v>
      </c>
      <c r="F103" s="81" t="str">
        <f aca="false">'W Programs'!D19</f>
        <v>Licensing</v>
      </c>
      <c r="G103" s="145" t="n">
        <f aca="false">INDEX('W Programs'!$F$19:$H$19,1,D103)*INDEX('W Assumptions'!$D$7:$F$7,1,D103)*'W Assumptions'!D101/SUM('W Assumptions'!D$95:D$106)</f>
        <v>0.068421052631579</v>
      </c>
      <c r="H103" s="81" t="n">
        <f aca="false">G103*INDEX('W Programs'!$I$19:$K$19,1,D103)*INDEX('W Assumptions'!$D$12:$F$12,1,D103)</f>
        <v>6842.1052631579</v>
      </c>
      <c r="I103" s="81" t="n">
        <f aca="false">H103*CHOOSE(D103,'W Programs'!L19,'W Programs'!Q19,'W Programs'!R19)*INDEX('W Assumptions'!$D$17:$F$17,1,D103)</f>
        <v>1026.31578947368</v>
      </c>
      <c r="J103" s="81" t="n">
        <f aca="false">H103*'W Programs'!$M$19*'W Programs'!$O$19</f>
        <v>0</v>
      </c>
      <c r="K103" s="149" t="n">
        <f aca="false">'W Programs'!$N$19</f>
        <v>0.3</v>
      </c>
      <c r="L103" s="81" t="n">
        <f aca="false">H103*K103+H75*(1-K103)</f>
        <v>6842.10526315789</v>
      </c>
      <c r="M103" s="81" t="n">
        <f aca="false">L103*'W Programs'!$M$19*'W Programs'!$O$19</f>
        <v>0</v>
      </c>
      <c r="N103" s="81" t="n">
        <f aca="false">I103*'W Assumptions'!$D$55+I89*(1-'W Assumptions'!$D$55)</f>
        <v>1026.31578947368</v>
      </c>
      <c r="O103" s="81" t="n">
        <f aca="false">H103-I103-J103</f>
        <v>5815.78947368421</v>
      </c>
    </row>
    <row r="104" customFormat="false" ht="21" hidden="false" customHeight="true" outlineLevel="0" collapsed="false">
      <c r="C104" s="144" t="n">
        <f aca="false">46478</f>
        <v>46478</v>
      </c>
      <c r="D104" s="81" t="n">
        <f aca="false">1</f>
        <v>1</v>
      </c>
      <c r="E104" s="81" t="str">
        <f aca="false">'W Programs'!C6</f>
        <v>TLI</v>
      </c>
      <c r="F104" s="81" t="str">
        <f aca="false">'W Programs'!D6</f>
        <v>Schools</v>
      </c>
      <c r="G104" s="145" t="n">
        <f aca="false">INDEX('W Programs'!$F$6:$H$6,1,D104)*INDEX('W Assumptions'!$D$7:$F$7,1,D104)*'W Assumptions'!D102/SUM('W Assumptions'!D$95:D$106)</f>
        <v>0.221052631578947</v>
      </c>
      <c r="H104" s="81" t="n">
        <f aca="false">G104*INDEX('W Programs'!$I$6:$K$6,1,D104)*INDEX('W Assumptions'!$D$12:$F$12,1,D104)</f>
        <v>30947.3684210526</v>
      </c>
      <c r="I104" s="81" t="n">
        <f aca="false">H104*CHOOSE(D104,'W Programs'!L6,'W Programs'!Q6,'W Programs'!R6)*INDEX('W Assumptions'!$D$17:$F$17,1,D104)</f>
        <v>12997.8947368421</v>
      </c>
      <c r="J104" s="81" t="n">
        <f aca="false">H104*'W Programs'!$M$6*'W Programs'!$O$6</f>
        <v>0</v>
      </c>
      <c r="K104" s="149" t="n">
        <f aca="false">'W Programs'!$N$6</f>
        <v>0.3</v>
      </c>
      <c r="L104" s="81" t="n">
        <f aca="false">H104*K104+H76*(1-K104)</f>
        <v>30947.3684210526</v>
      </c>
      <c r="M104" s="81" t="n">
        <f aca="false">L104*'W Programs'!$M$6*'W Programs'!$O$6</f>
        <v>0</v>
      </c>
      <c r="N104" s="81" t="n">
        <f aca="false">I104*'W Assumptions'!$D$55+I90*(1-'W Assumptions'!$D$55)</f>
        <v>12997.8947368421</v>
      </c>
      <c r="O104" s="81" t="n">
        <f aca="false">H104-I104-J104</f>
        <v>17949.4736842105</v>
      </c>
    </row>
    <row r="105" customFormat="false" ht="21" hidden="false" customHeight="true" outlineLevel="0" collapsed="false">
      <c r="C105" s="144" t="n">
        <f aca="false">46478</f>
        <v>46478</v>
      </c>
      <c r="D105" s="81" t="n">
        <f aca="false">1</f>
        <v>1</v>
      </c>
      <c r="E105" s="81" t="str">
        <f aca="false">'W Programs'!C7</f>
        <v>TLI</v>
      </c>
      <c r="F105" s="81" t="str">
        <f aca="false">'W Programs'!D7</f>
        <v>Activations</v>
      </c>
      <c r="G105" s="145" t="n">
        <f aca="false">INDEX('W Programs'!$F$7:$H$7,1,D105)*INDEX('W Assumptions'!$D$7:$F$7,1,D105)*'W Assumptions'!D102/SUM('W Assumptions'!D$95:D$106)</f>
        <v>0.294736842105263</v>
      </c>
      <c r="H105" s="81" t="n">
        <f aca="false">G105*INDEX('W Programs'!$I$7:$K$7,1,D105)*INDEX('W Assumptions'!$D$12:$F$12,1,D105)</f>
        <v>19157.8947368421</v>
      </c>
      <c r="I105" s="81" t="n">
        <f aca="false">H105*CHOOSE(D105,'W Programs'!L7,'W Programs'!Q7,'W Programs'!R7)*INDEX('W Assumptions'!$D$17:$F$17,1,D105)</f>
        <v>10536.8421052632</v>
      </c>
      <c r="J105" s="81" t="n">
        <f aca="false">H105*'W Programs'!$M$7*'W Programs'!$O$7</f>
        <v>0</v>
      </c>
      <c r="K105" s="149" t="n">
        <f aca="false">'W Programs'!$N$7</f>
        <v>0.3</v>
      </c>
      <c r="L105" s="81" t="n">
        <f aca="false">H105*K105+H77*(1-K105)</f>
        <v>19157.8947368421</v>
      </c>
      <c r="M105" s="81" t="n">
        <f aca="false">L105*'W Programs'!$M$7*'W Programs'!$O$7</f>
        <v>0</v>
      </c>
      <c r="N105" s="81" t="n">
        <f aca="false">I105*'W Assumptions'!$D$55+I91*(1-'W Assumptions'!$D$55)</f>
        <v>10536.8421052632</v>
      </c>
      <c r="O105" s="81" t="n">
        <f aca="false">H105-I105-J105</f>
        <v>8621.05263157895</v>
      </c>
    </row>
    <row r="106" customFormat="false" ht="21" hidden="false" customHeight="true" outlineLevel="0" collapsed="false">
      <c r="C106" s="144" t="n">
        <f aca="false">46478</f>
        <v>46478</v>
      </c>
      <c r="D106" s="81" t="n">
        <f aca="false">1</f>
        <v>1</v>
      </c>
      <c r="E106" s="81" t="str">
        <f aca="false">'W Programs'!C8</f>
        <v>TLI</v>
      </c>
      <c r="F106" s="81" t="str">
        <f aca="false">'W Programs'!D8</f>
        <v>Workshops</v>
      </c>
      <c r="G106" s="145" t="n">
        <f aca="false">INDEX('W Programs'!$F$8:$H$8,1,D106)*INDEX('W Assumptions'!$D$7:$F$7,1,D106)*'W Assumptions'!D102/SUM('W Assumptions'!D$95:D$106)</f>
        <v>3.31578947368421</v>
      </c>
      <c r="H106" s="81" t="n">
        <f aca="false">G106*INDEX('W Programs'!$I$8:$K$8,1,D106)*INDEX('W Assumptions'!$D$12:$F$12,1,D106)</f>
        <v>13263.1578947368</v>
      </c>
      <c r="I106" s="81" t="n">
        <f aca="false">H106*CHOOSE(D106,'W Programs'!L8,'W Programs'!Q8,'W Programs'!R8)*INDEX('W Assumptions'!$D$17:$F$17,1,D106)</f>
        <v>5968.42105263158</v>
      </c>
      <c r="J106" s="81" t="n">
        <f aca="false">H106*'W Programs'!$M$8*'W Programs'!$O$8</f>
        <v>0</v>
      </c>
      <c r="K106" s="149" t="n">
        <f aca="false">'W Programs'!$N$8</f>
        <v>0.7</v>
      </c>
      <c r="L106" s="81" t="n">
        <f aca="false">H106*K106+H78*(1-K106)</f>
        <v>13263.1578947368</v>
      </c>
      <c r="M106" s="81" t="n">
        <f aca="false">L106*'W Programs'!$M$8*'W Programs'!$O$8</f>
        <v>0</v>
      </c>
      <c r="N106" s="81" t="n">
        <f aca="false">I106*'W Assumptions'!$D$55+I92*(1-'W Assumptions'!$D$55)</f>
        <v>5968.42105263158</v>
      </c>
      <c r="O106" s="81" t="n">
        <f aca="false">H106-I106-J106</f>
        <v>7294.73684210526</v>
      </c>
    </row>
    <row r="107" customFormat="false" ht="21" hidden="false" customHeight="true" outlineLevel="0" collapsed="false">
      <c r="C107" s="144" t="n">
        <f aca="false">46478</f>
        <v>46478</v>
      </c>
      <c r="D107" s="81" t="n">
        <f aca="false">1</f>
        <v>1</v>
      </c>
      <c r="E107" s="81" t="str">
        <f aca="false">'W Programs'!C9</f>
        <v>TLI</v>
      </c>
      <c r="F107" s="81" t="str">
        <f aca="false">'W Programs'!D9</f>
        <v>Installations</v>
      </c>
      <c r="G107" s="145" t="n">
        <f aca="false">INDEX('W Programs'!$F$9:$H$9,1,D107)*INDEX('W Assumptions'!$D$7:$F$7,1,D107)*'W Assumptions'!D102/SUM('W Assumptions'!D$95:D$106)</f>
        <v>0.0368421052631579</v>
      </c>
      <c r="H107" s="81" t="n">
        <f aca="false">G107*INDEX('W Programs'!$I$9:$K$9,1,D107)*INDEX('W Assumptions'!$D$12:$F$12,1,D107)</f>
        <v>9210.52631578947</v>
      </c>
      <c r="I107" s="81" t="n">
        <f aca="false">H107*CHOOSE(D107,'W Programs'!L9,'W Programs'!Q9,'W Programs'!R9)*INDEX('W Assumptions'!$D$17:$F$17,1,D107)</f>
        <v>5986.84210526316</v>
      </c>
      <c r="J107" s="81" t="n">
        <f aca="false">H107*'W Programs'!$M$9*'W Programs'!$O$9</f>
        <v>0</v>
      </c>
      <c r="K107" s="149" t="n">
        <f aca="false">'W Programs'!$N$9</f>
        <v>0.3</v>
      </c>
      <c r="L107" s="81" t="n">
        <f aca="false">H107*K107+H79*(1-K107)</f>
        <v>9210.52631578947</v>
      </c>
      <c r="M107" s="81" t="n">
        <f aca="false">L107*'W Programs'!$M$9*'W Programs'!$O$9</f>
        <v>0</v>
      </c>
      <c r="N107" s="81" t="n">
        <f aca="false">I107*'W Assumptions'!$D$55+I93*(1-'W Assumptions'!$D$55)</f>
        <v>5986.84210526316</v>
      </c>
      <c r="O107" s="81" t="n">
        <f aca="false">H107-I107-J107</f>
        <v>3223.68421052632</v>
      </c>
    </row>
    <row r="108" customFormat="false" ht="21" hidden="false" customHeight="true" outlineLevel="0" collapsed="false">
      <c r="C108" s="144" t="n">
        <f aca="false">46478</f>
        <v>46478</v>
      </c>
      <c r="D108" s="81" t="n">
        <f aca="false">1</f>
        <v>1</v>
      </c>
      <c r="E108" s="81" t="str">
        <f aca="false">'W Programs'!C10</f>
        <v>TLI</v>
      </c>
      <c r="F108" s="81" t="str">
        <f aca="false">'W Programs'!D10</f>
        <v>Digital</v>
      </c>
      <c r="G108" s="145" t="n">
        <f aca="false">INDEX('W Programs'!$F$10:$H$10,1,D108)*INDEX('W Assumptions'!$D$7:$F$7,1,D108)*'W Assumptions'!D102/SUM('W Assumptions'!D$95:D$106)</f>
        <v>14.7368421052632</v>
      </c>
      <c r="H108" s="81" t="n">
        <f aca="false">G108*INDEX('W Programs'!$I$10:$K$10,1,D108)*INDEX('W Assumptions'!$D$12:$F$12,1,D108)</f>
        <v>5157.89473684211</v>
      </c>
      <c r="I108" s="81" t="n">
        <f aca="false">H108*CHOOSE(D108,'W Programs'!L10,'W Programs'!Q10,'W Programs'!R10)*INDEX('W Assumptions'!$D$17:$F$17,1,D108)</f>
        <v>1031.57894736842</v>
      </c>
      <c r="J108" s="81" t="n">
        <f aca="false">H108*'W Programs'!$M$10*'W Programs'!$O$10</f>
        <v>0</v>
      </c>
      <c r="K108" s="149" t="n">
        <f aca="false">'W Programs'!$N$10</f>
        <v>1</v>
      </c>
      <c r="L108" s="81" t="n">
        <f aca="false">H108*K108+H80*(1-K108)</f>
        <v>5157.89473684211</v>
      </c>
      <c r="M108" s="81" t="n">
        <f aca="false">L108*'W Programs'!$M$10*'W Programs'!$O$10</f>
        <v>0</v>
      </c>
      <c r="N108" s="81" t="n">
        <f aca="false">I108*'W Assumptions'!$D$55+I94*(1-'W Assumptions'!$D$55)</f>
        <v>1031.57894736842</v>
      </c>
      <c r="O108" s="81" t="n">
        <f aca="false">H108-I108-J108</f>
        <v>4126.31578947368</v>
      </c>
    </row>
    <row r="109" customFormat="false" ht="21" hidden="false" customHeight="true" outlineLevel="0" collapsed="false">
      <c r="C109" s="144" t="n">
        <f aca="false">46478</f>
        <v>46478</v>
      </c>
      <c r="D109" s="81" t="n">
        <f aca="false">1</f>
        <v>1</v>
      </c>
      <c r="E109" s="81" t="str">
        <f aca="false">'W Programs'!C11</f>
        <v>TLI</v>
      </c>
      <c r="F109" s="81" t="str">
        <f aca="false">'W Programs'!D11</f>
        <v>Retail</v>
      </c>
      <c r="G109" s="145" t="n">
        <f aca="false">INDEX('W Programs'!$F$11:$H$11,1,D109)*INDEX('W Assumptions'!$D$7:$F$7,1,D109)*'W Assumptions'!D102/SUM('W Assumptions'!D$95:D$106)</f>
        <v>44.2105263157895</v>
      </c>
      <c r="H109" s="81" t="n">
        <f aca="false">G109*INDEX('W Programs'!$I$11:$K$11,1,D109)*INDEX('W Assumptions'!$D$12:$F$12,1,D109)</f>
        <v>10610.5263157895</v>
      </c>
      <c r="I109" s="81" t="n">
        <f aca="false">H109*CHOOSE(D109,'W Programs'!L11,'W Programs'!Q11,'W Programs'!R11)*INDEX('W Assumptions'!$D$17:$F$17,1,D109)</f>
        <v>5835.78947368421</v>
      </c>
      <c r="J109" s="81" t="n">
        <f aca="false">H109*'W Programs'!$M$11*'W Programs'!$O$11</f>
        <v>0</v>
      </c>
      <c r="K109" s="149" t="n">
        <f aca="false">'W Programs'!$N$11</f>
        <v>1</v>
      </c>
      <c r="L109" s="81" t="n">
        <f aca="false">H109*K109+H81*(1-K109)</f>
        <v>10610.5263157895</v>
      </c>
      <c r="M109" s="81" t="n">
        <f aca="false">L109*'W Programs'!$M$11*'W Programs'!$O$11</f>
        <v>0</v>
      </c>
      <c r="N109" s="81" t="n">
        <f aca="false">I109*'W Assumptions'!$D$55+I95*(1-'W Assumptions'!$D$55)</f>
        <v>5835.78947368421</v>
      </c>
      <c r="O109" s="81" t="n">
        <f aca="false">H109-I109-J109</f>
        <v>4774.73684210526</v>
      </c>
    </row>
    <row r="110" customFormat="false" ht="21" hidden="false" customHeight="true" outlineLevel="0" collapsed="false">
      <c r="C110" s="144" t="n">
        <f aca="false">46478</f>
        <v>46478</v>
      </c>
      <c r="D110" s="81" t="n">
        <f aca="false">1</f>
        <v>1</v>
      </c>
      <c r="E110" s="81" t="str">
        <f aca="false">'W Programs'!C12</f>
        <v>TLI</v>
      </c>
      <c r="F110" s="81" t="str">
        <f aca="false">'W Programs'!D12</f>
        <v>Licensing</v>
      </c>
      <c r="G110" s="145" t="n">
        <f aca="false">INDEX('W Programs'!$F$12:$H$12,1,D110)*INDEX('W Assumptions'!$D$7:$F$7,1,D110)*'W Assumptions'!D102/SUM('W Assumptions'!D$95:D$106)</f>
        <v>0.0368421052631579</v>
      </c>
      <c r="H110" s="81" t="n">
        <f aca="false">G110*INDEX('W Programs'!$I$12:$K$12,1,D110)*INDEX('W Assumptions'!$D$12:$F$12,1,D110)</f>
        <v>3684.21052631579</v>
      </c>
      <c r="I110" s="81" t="n">
        <f aca="false">H110*CHOOSE(D110,'W Programs'!L12,'W Programs'!Q12,'W Programs'!R12)*INDEX('W Assumptions'!$D$17:$F$17,1,D110)</f>
        <v>552.631578947368</v>
      </c>
      <c r="J110" s="81" t="n">
        <f aca="false">H110*'W Programs'!$M$12*'W Programs'!$O$12</f>
        <v>0</v>
      </c>
      <c r="K110" s="149" t="n">
        <f aca="false">'W Programs'!$N$12</f>
        <v>0.3</v>
      </c>
      <c r="L110" s="81" t="n">
        <f aca="false">H110*K110+H82*(1-K110)</f>
        <v>3684.21052631579</v>
      </c>
      <c r="M110" s="81" t="n">
        <f aca="false">L110*'W Programs'!$M$12*'W Programs'!$O$12</f>
        <v>0</v>
      </c>
      <c r="N110" s="81" t="n">
        <f aca="false">I110*'W Assumptions'!$D$55+I96*(1-'W Assumptions'!$D$55)</f>
        <v>552.631578947368</v>
      </c>
      <c r="O110" s="81" t="n">
        <f aca="false">H110-I110-J110</f>
        <v>3131.57894736842</v>
      </c>
    </row>
    <row r="111" customFormat="false" ht="21" hidden="false" customHeight="true" outlineLevel="0" collapsed="false">
      <c r="C111" s="144" t="n">
        <f aca="false">46478</f>
        <v>46478</v>
      </c>
      <c r="D111" s="81" t="n">
        <f aca="false">1</f>
        <v>1</v>
      </c>
      <c r="E111" s="81" t="str">
        <f aca="false">'W Programs'!C13</f>
        <v>WOO IP</v>
      </c>
      <c r="F111" s="81" t="str">
        <f aca="false">'W Programs'!D13</f>
        <v>Schools</v>
      </c>
      <c r="G111" s="145" t="n">
        <f aca="false">INDEX('W Programs'!$F$13:$H$13,1,D111)*INDEX('W Assumptions'!$D$7:$F$7,1,D111)*'W Assumptions'!D102/SUM('W Assumptions'!D$95:D$106)</f>
        <v>0.410526315789474</v>
      </c>
      <c r="H111" s="81" t="n">
        <f aca="false">G111*INDEX('W Programs'!$I$13:$K$13,1,D111)*INDEX('W Assumptions'!$D$12:$F$12,1,D111)</f>
        <v>57473.6842105263</v>
      </c>
      <c r="I111" s="81" t="n">
        <f aca="false">H111*CHOOSE(D111,'W Programs'!L13,'W Programs'!Q13,'W Programs'!R13)*INDEX('W Assumptions'!$D$17:$F$17,1,D111)</f>
        <v>24138.9473684211</v>
      </c>
      <c r="J111" s="81" t="n">
        <f aca="false">H111*'W Programs'!$M$13*'W Programs'!$O$13</f>
        <v>0</v>
      </c>
      <c r="K111" s="149" t="n">
        <f aca="false">'W Programs'!$N$13</f>
        <v>0.3</v>
      </c>
      <c r="L111" s="81" t="n">
        <f aca="false">H111*K111+H83*(1-K111)</f>
        <v>57473.6842105263</v>
      </c>
      <c r="M111" s="81" t="n">
        <f aca="false">L111*'W Programs'!$M$13*'W Programs'!$O$13</f>
        <v>0</v>
      </c>
      <c r="N111" s="81" t="n">
        <f aca="false">I111*'W Assumptions'!$D$55+I97*(1-'W Assumptions'!$D$55)</f>
        <v>24138.9473684211</v>
      </c>
      <c r="O111" s="81" t="n">
        <f aca="false">H111-I111-J111</f>
        <v>33334.7368421053</v>
      </c>
    </row>
    <row r="112" customFormat="false" ht="21" hidden="false" customHeight="true" outlineLevel="0" collapsed="false">
      <c r="C112" s="144" t="n">
        <f aca="false">46478</f>
        <v>46478</v>
      </c>
      <c r="D112" s="81" t="n">
        <f aca="false">1</f>
        <v>1</v>
      </c>
      <c r="E112" s="81" t="str">
        <f aca="false">'W Programs'!C14</f>
        <v>WOO IP</v>
      </c>
      <c r="F112" s="81" t="str">
        <f aca="false">'W Programs'!D14</f>
        <v>Activations</v>
      </c>
      <c r="G112" s="145" t="n">
        <f aca="false">INDEX('W Programs'!$F$14:$H$14,1,D112)*INDEX('W Assumptions'!$D$7:$F$7,1,D112)*'W Assumptions'!D102/SUM('W Assumptions'!D$95:D$106)</f>
        <v>0.547368421052632</v>
      </c>
      <c r="H112" s="81" t="n">
        <f aca="false">G112*INDEX('W Programs'!$I$14:$K$14,1,D112)*INDEX('W Assumptions'!$D$12:$F$12,1,D112)</f>
        <v>35578.9473684211</v>
      </c>
      <c r="I112" s="81" t="n">
        <f aca="false">H112*CHOOSE(D112,'W Programs'!L14,'W Programs'!Q14,'W Programs'!R14)*INDEX('W Assumptions'!$D$17:$F$17,1,D112)</f>
        <v>19568.4210526316</v>
      </c>
      <c r="J112" s="81" t="n">
        <f aca="false">H112*'W Programs'!$M$14*'W Programs'!$O$14</f>
        <v>0</v>
      </c>
      <c r="K112" s="149" t="n">
        <f aca="false">'W Programs'!$N$14</f>
        <v>0.3</v>
      </c>
      <c r="L112" s="81" t="n">
        <f aca="false">H112*K112+H84*(1-K112)</f>
        <v>35578.9473684211</v>
      </c>
      <c r="M112" s="81" t="n">
        <f aca="false">L112*'W Programs'!$M$14*'W Programs'!$O$14</f>
        <v>0</v>
      </c>
      <c r="N112" s="81" t="n">
        <f aca="false">I112*'W Assumptions'!$D$55+I98*(1-'W Assumptions'!$D$55)</f>
        <v>19568.4210526316</v>
      </c>
      <c r="O112" s="81" t="n">
        <f aca="false">H112-I112-J112</f>
        <v>16010.5263157895</v>
      </c>
    </row>
    <row r="113" customFormat="false" ht="21" hidden="false" customHeight="true" outlineLevel="0" collapsed="false">
      <c r="C113" s="144" t="n">
        <f aca="false">46478</f>
        <v>46478</v>
      </c>
      <c r="D113" s="81" t="n">
        <f aca="false">1</f>
        <v>1</v>
      </c>
      <c r="E113" s="81" t="str">
        <f aca="false">'W Programs'!C15</f>
        <v>WOO IP</v>
      </c>
      <c r="F113" s="81" t="str">
        <f aca="false">'W Programs'!D15</f>
        <v>Workshops</v>
      </c>
      <c r="G113" s="145" t="n">
        <f aca="false">INDEX('W Programs'!$F$15:$H$15,1,D113)*INDEX('W Assumptions'!$D$7:$F$7,1,D113)*'W Assumptions'!D102/SUM('W Assumptions'!D$95:D$106)</f>
        <v>6.15789473684211</v>
      </c>
      <c r="H113" s="81" t="n">
        <f aca="false">G113*INDEX('W Programs'!$I$15:$K$15,1,D113)*INDEX('W Assumptions'!$D$12:$F$12,1,D113)</f>
        <v>24631.5789473684</v>
      </c>
      <c r="I113" s="81" t="n">
        <f aca="false">H113*CHOOSE(D113,'W Programs'!L15,'W Programs'!Q15,'W Programs'!R15)*INDEX('W Assumptions'!$D$17:$F$17,1,D113)</f>
        <v>11084.2105263158</v>
      </c>
      <c r="J113" s="81" t="n">
        <f aca="false">H113*'W Programs'!$M$15*'W Programs'!$O$15</f>
        <v>0</v>
      </c>
      <c r="K113" s="149" t="n">
        <f aca="false">'W Programs'!$N$15</f>
        <v>0.7</v>
      </c>
      <c r="L113" s="81" t="n">
        <f aca="false">H113*K113+H85*(1-K113)</f>
        <v>24631.5789473684</v>
      </c>
      <c r="M113" s="81" t="n">
        <f aca="false">L113*'W Programs'!$M$15*'W Programs'!$O$15</f>
        <v>0</v>
      </c>
      <c r="N113" s="81" t="n">
        <f aca="false">I113*'W Assumptions'!$D$55+I99*(1-'W Assumptions'!$D$55)</f>
        <v>11084.2105263158</v>
      </c>
      <c r="O113" s="81" t="n">
        <f aca="false">H113-I113-J113</f>
        <v>13547.3684210526</v>
      </c>
    </row>
    <row r="114" customFormat="false" ht="21" hidden="false" customHeight="true" outlineLevel="0" collapsed="false">
      <c r="C114" s="144" t="n">
        <f aca="false">46478</f>
        <v>46478</v>
      </c>
      <c r="D114" s="81" t="n">
        <f aca="false">1</f>
        <v>1</v>
      </c>
      <c r="E114" s="81" t="str">
        <f aca="false">'W Programs'!C16</f>
        <v>WOO IP</v>
      </c>
      <c r="F114" s="81" t="str">
        <f aca="false">'W Programs'!D16</f>
        <v>Installations</v>
      </c>
      <c r="G114" s="145" t="n">
        <f aca="false">INDEX('W Programs'!$F$16:$H$16,1,D114)*INDEX('W Assumptions'!$D$7:$F$7,1,D114)*'W Assumptions'!D102/SUM('W Assumptions'!D$95:D$106)</f>
        <v>0.068421052631579</v>
      </c>
      <c r="H114" s="81" t="n">
        <f aca="false">G114*INDEX('W Programs'!$I$16:$K$16,1,D114)*INDEX('W Assumptions'!$D$12:$F$12,1,D114)</f>
        <v>17105.2631578947</v>
      </c>
      <c r="I114" s="81" t="n">
        <f aca="false">H114*CHOOSE(D114,'W Programs'!L16,'W Programs'!Q16,'W Programs'!R16)*INDEX('W Assumptions'!$D$17:$F$17,1,D114)</f>
        <v>11118.4210526316</v>
      </c>
      <c r="J114" s="81" t="n">
        <f aca="false">H114*'W Programs'!$M$16*'W Programs'!$O$16</f>
        <v>0</v>
      </c>
      <c r="K114" s="149" t="n">
        <f aca="false">'W Programs'!$N$16</f>
        <v>0.3</v>
      </c>
      <c r="L114" s="81" t="n">
        <f aca="false">H114*K114+H86*(1-K114)</f>
        <v>17105.2631578947</v>
      </c>
      <c r="M114" s="81" t="n">
        <f aca="false">L114*'W Programs'!$M$16*'W Programs'!$O$16</f>
        <v>0</v>
      </c>
      <c r="N114" s="81" t="n">
        <f aca="false">I114*'W Assumptions'!$D$55+I100*(1-'W Assumptions'!$D$55)</f>
        <v>11118.4210526316</v>
      </c>
      <c r="O114" s="81" t="n">
        <f aca="false">H114-I114-J114</f>
        <v>5986.84210526316</v>
      </c>
    </row>
    <row r="115" customFormat="false" ht="21" hidden="false" customHeight="true" outlineLevel="0" collapsed="false">
      <c r="C115" s="144" t="n">
        <f aca="false">46478</f>
        <v>46478</v>
      </c>
      <c r="D115" s="81" t="n">
        <f aca="false">1</f>
        <v>1</v>
      </c>
      <c r="E115" s="81" t="str">
        <f aca="false">'W Programs'!C17</f>
        <v>WOO IP</v>
      </c>
      <c r="F115" s="81" t="str">
        <f aca="false">'W Programs'!D17</f>
        <v>Digital</v>
      </c>
      <c r="G115" s="145" t="n">
        <f aca="false">INDEX('W Programs'!$F$17:$H$17,1,D115)*INDEX('W Assumptions'!$D$7:$F$7,1,D115)*'W Assumptions'!D102/SUM('W Assumptions'!D$95:D$106)</f>
        <v>27.3684210526316</v>
      </c>
      <c r="H115" s="81" t="n">
        <f aca="false">G115*INDEX('W Programs'!$I$17:$K$17,1,D115)*INDEX('W Assumptions'!$D$12:$F$12,1,D115)</f>
        <v>9578.94736842105</v>
      </c>
      <c r="I115" s="81" t="n">
        <f aca="false">H115*CHOOSE(D115,'W Programs'!L17,'W Programs'!Q17,'W Programs'!R17)*INDEX('W Assumptions'!$D$17:$F$17,1,D115)</f>
        <v>1915.78947368421</v>
      </c>
      <c r="J115" s="81" t="n">
        <f aca="false">H115*'W Programs'!$M$17*'W Programs'!$O$17</f>
        <v>0</v>
      </c>
      <c r="K115" s="149" t="n">
        <f aca="false">'W Programs'!$N$17</f>
        <v>1</v>
      </c>
      <c r="L115" s="81" t="n">
        <f aca="false">H115*K115+H87*(1-K115)</f>
        <v>9578.94736842105</v>
      </c>
      <c r="M115" s="81" t="n">
        <f aca="false">L115*'W Programs'!$M$17*'W Programs'!$O$17</f>
        <v>0</v>
      </c>
      <c r="N115" s="81" t="n">
        <f aca="false">I115*'W Assumptions'!$D$55+I101*(1-'W Assumptions'!$D$55)</f>
        <v>1915.78947368421</v>
      </c>
      <c r="O115" s="81" t="n">
        <f aca="false">H115-I115-J115</f>
        <v>7663.15789473684</v>
      </c>
    </row>
    <row r="116" customFormat="false" ht="21" hidden="false" customHeight="true" outlineLevel="0" collapsed="false">
      <c r="C116" s="144" t="n">
        <f aca="false">46478</f>
        <v>46478</v>
      </c>
      <c r="D116" s="81" t="n">
        <f aca="false">1</f>
        <v>1</v>
      </c>
      <c r="E116" s="81" t="str">
        <f aca="false">'W Programs'!C18</f>
        <v>WOO IP</v>
      </c>
      <c r="F116" s="81" t="str">
        <f aca="false">'W Programs'!D18</f>
        <v>Retail</v>
      </c>
      <c r="G116" s="145" t="n">
        <f aca="false">INDEX('W Programs'!$F$18:$H$18,1,D116)*INDEX('W Assumptions'!$D$7:$F$7,1,D116)*'W Assumptions'!D102/SUM('W Assumptions'!D$95:D$106)</f>
        <v>82.1052631578947</v>
      </c>
      <c r="H116" s="81" t="n">
        <f aca="false">G116*INDEX('W Programs'!$I$18:$K$18,1,D116)*INDEX('W Assumptions'!$D$12:$F$12,1,D116)</f>
        <v>19705.2631578947</v>
      </c>
      <c r="I116" s="81" t="n">
        <f aca="false">H116*CHOOSE(D116,'W Programs'!L18,'W Programs'!Q18,'W Programs'!R18)*INDEX('W Assumptions'!$D$17:$F$17,1,D116)</f>
        <v>10837.8947368421</v>
      </c>
      <c r="J116" s="81" t="n">
        <f aca="false">H116*'W Programs'!$M$18*'W Programs'!$O$18</f>
        <v>0</v>
      </c>
      <c r="K116" s="149" t="n">
        <f aca="false">'W Programs'!$N$18</f>
        <v>1</v>
      </c>
      <c r="L116" s="81" t="n">
        <f aca="false">H116*K116+H88*(1-K116)</f>
        <v>19705.2631578947</v>
      </c>
      <c r="M116" s="81" t="n">
        <f aca="false">L116*'W Programs'!$M$18*'W Programs'!$O$18</f>
        <v>0</v>
      </c>
      <c r="N116" s="81" t="n">
        <f aca="false">I116*'W Assumptions'!$D$55+I102*(1-'W Assumptions'!$D$55)</f>
        <v>10837.8947368421</v>
      </c>
      <c r="O116" s="81" t="n">
        <f aca="false">H116-I116-J116</f>
        <v>8867.36842105263</v>
      </c>
    </row>
    <row r="117" customFormat="false" ht="21" hidden="false" customHeight="true" outlineLevel="0" collapsed="false">
      <c r="C117" s="144" t="n">
        <f aca="false">46478</f>
        <v>46478</v>
      </c>
      <c r="D117" s="81" t="n">
        <f aca="false">1</f>
        <v>1</v>
      </c>
      <c r="E117" s="81" t="str">
        <f aca="false">'W Programs'!C19</f>
        <v>WOO IP</v>
      </c>
      <c r="F117" s="81" t="str">
        <f aca="false">'W Programs'!D19</f>
        <v>Licensing</v>
      </c>
      <c r="G117" s="145" t="n">
        <f aca="false">INDEX('W Programs'!$F$19:$H$19,1,D117)*INDEX('W Assumptions'!$D$7:$F$7,1,D117)*'W Assumptions'!D102/SUM('W Assumptions'!D$95:D$106)</f>
        <v>0.068421052631579</v>
      </c>
      <c r="H117" s="81" t="n">
        <f aca="false">G117*INDEX('W Programs'!$I$19:$K$19,1,D117)*INDEX('W Assumptions'!$D$12:$F$12,1,D117)</f>
        <v>6842.1052631579</v>
      </c>
      <c r="I117" s="81" t="n">
        <f aca="false">H117*CHOOSE(D117,'W Programs'!L19,'W Programs'!Q19,'W Programs'!R19)*INDEX('W Assumptions'!$D$17:$F$17,1,D117)</f>
        <v>1026.31578947368</v>
      </c>
      <c r="J117" s="81" t="n">
        <f aca="false">H117*'W Programs'!$M$19*'W Programs'!$O$19</f>
        <v>0</v>
      </c>
      <c r="K117" s="149" t="n">
        <f aca="false">'W Programs'!$N$19</f>
        <v>0.3</v>
      </c>
      <c r="L117" s="81" t="n">
        <f aca="false">H117*K117+H89*(1-K117)</f>
        <v>6842.10526315789</v>
      </c>
      <c r="M117" s="81" t="n">
        <f aca="false">L117*'W Programs'!$M$19*'W Programs'!$O$19</f>
        <v>0</v>
      </c>
      <c r="N117" s="81" t="n">
        <f aca="false">I117*'W Assumptions'!$D$55+I103*(1-'W Assumptions'!$D$55)</f>
        <v>1026.31578947368</v>
      </c>
      <c r="O117" s="81" t="n">
        <f aca="false">H117-I117-J117</f>
        <v>5815.78947368421</v>
      </c>
    </row>
    <row r="118" customFormat="false" ht="21" hidden="false" customHeight="true" outlineLevel="0" collapsed="false">
      <c r="C118" s="144" t="n">
        <f aca="false">46508</f>
        <v>46508</v>
      </c>
      <c r="D118" s="81" t="n">
        <f aca="false">1</f>
        <v>1</v>
      </c>
      <c r="E118" s="81" t="str">
        <f aca="false">'W Programs'!C6</f>
        <v>TLI</v>
      </c>
      <c r="F118" s="81" t="str">
        <f aca="false">'W Programs'!D6</f>
        <v>Schools</v>
      </c>
      <c r="G118" s="145" t="n">
        <f aca="false">INDEX('W Programs'!$F$6:$H$6,1,D118)*INDEX('W Assumptions'!$D$7:$F$7,1,D118)*'W Assumptions'!D103/SUM('W Assumptions'!D$95:D$106)</f>
        <v>0.221052631578947</v>
      </c>
      <c r="H118" s="81" t="n">
        <f aca="false">G118*INDEX('W Programs'!$I$6:$K$6,1,D118)*INDEX('W Assumptions'!$D$12:$F$12,1,D118)</f>
        <v>30947.3684210526</v>
      </c>
      <c r="I118" s="81" t="n">
        <f aca="false">H118*CHOOSE(D118,'W Programs'!L6,'W Programs'!Q6,'W Programs'!R6)*INDEX('W Assumptions'!$D$17:$F$17,1,D118)</f>
        <v>12997.8947368421</v>
      </c>
      <c r="J118" s="81" t="n">
        <f aca="false">H118*'W Programs'!$M$6*'W Programs'!$O$6</f>
        <v>0</v>
      </c>
      <c r="K118" s="149" t="n">
        <f aca="false">'W Programs'!$N$6</f>
        <v>0.3</v>
      </c>
      <c r="L118" s="81" t="n">
        <f aca="false">H118*K118+H90*(1-K118)</f>
        <v>30947.3684210526</v>
      </c>
      <c r="M118" s="81" t="n">
        <f aca="false">L118*'W Programs'!$M$6*'W Programs'!$O$6</f>
        <v>0</v>
      </c>
      <c r="N118" s="81" t="n">
        <f aca="false">I118*'W Assumptions'!$D$55+I104*(1-'W Assumptions'!$D$55)</f>
        <v>12997.8947368421</v>
      </c>
      <c r="O118" s="81" t="n">
        <f aca="false">H118-I118-J118</f>
        <v>17949.4736842105</v>
      </c>
    </row>
    <row r="119" customFormat="false" ht="21" hidden="false" customHeight="true" outlineLevel="0" collapsed="false">
      <c r="C119" s="144" t="n">
        <f aca="false">46508</f>
        <v>46508</v>
      </c>
      <c r="D119" s="81" t="n">
        <f aca="false">1</f>
        <v>1</v>
      </c>
      <c r="E119" s="81" t="str">
        <f aca="false">'W Programs'!C7</f>
        <v>TLI</v>
      </c>
      <c r="F119" s="81" t="str">
        <f aca="false">'W Programs'!D7</f>
        <v>Activations</v>
      </c>
      <c r="G119" s="145" t="n">
        <f aca="false">INDEX('W Programs'!$F$7:$H$7,1,D119)*INDEX('W Assumptions'!$D$7:$F$7,1,D119)*'W Assumptions'!D103/SUM('W Assumptions'!D$95:D$106)</f>
        <v>0.294736842105263</v>
      </c>
      <c r="H119" s="81" t="n">
        <f aca="false">G119*INDEX('W Programs'!$I$7:$K$7,1,D119)*INDEX('W Assumptions'!$D$12:$F$12,1,D119)</f>
        <v>19157.8947368421</v>
      </c>
      <c r="I119" s="81" t="n">
        <f aca="false">H119*CHOOSE(D119,'W Programs'!L7,'W Programs'!Q7,'W Programs'!R7)*INDEX('W Assumptions'!$D$17:$F$17,1,D119)</f>
        <v>10536.8421052632</v>
      </c>
      <c r="J119" s="81" t="n">
        <f aca="false">H119*'W Programs'!$M$7*'W Programs'!$O$7</f>
        <v>0</v>
      </c>
      <c r="K119" s="149" t="n">
        <f aca="false">'W Programs'!$N$7</f>
        <v>0.3</v>
      </c>
      <c r="L119" s="81" t="n">
        <f aca="false">H119*K119+H91*(1-K119)</f>
        <v>19157.8947368421</v>
      </c>
      <c r="M119" s="81" t="n">
        <f aca="false">L119*'W Programs'!$M$7*'W Programs'!$O$7</f>
        <v>0</v>
      </c>
      <c r="N119" s="81" t="n">
        <f aca="false">I119*'W Assumptions'!$D$55+I105*(1-'W Assumptions'!$D$55)</f>
        <v>10536.8421052632</v>
      </c>
      <c r="O119" s="81" t="n">
        <f aca="false">H119-I119-J119</f>
        <v>8621.05263157895</v>
      </c>
    </row>
    <row r="120" customFormat="false" ht="21" hidden="false" customHeight="true" outlineLevel="0" collapsed="false">
      <c r="C120" s="144" t="n">
        <f aca="false">46508</f>
        <v>46508</v>
      </c>
      <c r="D120" s="81" t="n">
        <f aca="false">1</f>
        <v>1</v>
      </c>
      <c r="E120" s="81" t="str">
        <f aca="false">'W Programs'!C8</f>
        <v>TLI</v>
      </c>
      <c r="F120" s="81" t="str">
        <f aca="false">'W Programs'!D8</f>
        <v>Workshops</v>
      </c>
      <c r="G120" s="145" t="n">
        <f aca="false">INDEX('W Programs'!$F$8:$H$8,1,D120)*INDEX('W Assumptions'!$D$7:$F$7,1,D120)*'W Assumptions'!D103/SUM('W Assumptions'!D$95:D$106)</f>
        <v>3.31578947368421</v>
      </c>
      <c r="H120" s="81" t="n">
        <f aca="false">G120*INDEX('W Programs'!$I$8:$K$8,1,D120)*INDEX('W Assumptions'!$D$12:$F$12,1,D120)</f>
        <v>13263.1578947368</v>
      </c>
      <c r="I120" s="81" t="n">
        <f aca="false">H120*CHOOSE(D120,'W Programs'!L8,'W Programs'!Q8,'W Programs'!R8)*INDEX('W Assumptions'!$D$17:$F$17,1,D120)</f>
        <v>5968.42105263158</v>
      </c>
      <c r="J120" s="81" t="n">
        <f aca="false">H120*'W Programs'!$M$8*'W Programs'!$O$8</f>
        <v>0</v>
      </c>
      <c r="K120" s="149" t="n">
        <f aca="false">'W Programs'!$N$8</f>
        <v>0.7</v>
      </c>
      <c r="L120" s="81" t="n">
        <f aca="false">H120*K120+H92*(1-K120)</f>
        <v>13263.1578947368</v>
      </c>
      <c r="M120" s="81" t="n">
        <f aca="false">L120*'W Programs'!$M$8*'W Programs'!$O$8</f>
        <v>0</v>
      </c>
      <c r="N120" s="81" t="n">
        <f aca="false">I120*'W Assumptions'!$D$55+I106*(1-'W Assumptions'!$D$55)</f>
        <v>5968.42105263158</v>
      </c>
      <c r="O120" s="81" t="n">
        <f aca="false">H120-I120-J120</f>
        <v>7294.73684210526</v>
      </c>
    </row>
    <row r="121" customFormat="false" ht="21" hidden="false" customHeight="true" outlineLevel="0" collapsed="false">
      <c r="C121" s="144" t="n">
        <f aca="false">46508</f>
        <v>46508</v>
      </c>
      <c r="D121" s="81" t="n">
        <f aca="false">1</f>
        <v>1</v>
      </c>
      <c r="E121" s="81" t="str">
        <f aca="false">'W Programs'!C9</f>
        <v>TLI</v>
      </c>
      <c r="F121" s="81" t="str">
        <f aca="false">'W Programs'!D9</f>
        <v>Installations</v>
      </c>
      <c r="G121" s="145" t="n">
        <f aca="false">INDEX('W Programs'!$F$9:$H$9,1,D121)*INDEX('W Assumptions'!$D$7:$F$7,1,D121)*'W Assumptions'!D103/SUM('W Assumptions'!D$95:D$106)</f>
        <v>0.0368421052631579</v>
      </c>
      <c r="H121" s="81" t="n">
        <f aca="false">G121*INDEX('W Programs'!$I$9:$K$9,1,D121)*INDEX('W Assumptions'!$D$12:$F$12,1,D121)</f>
        <v>9210.52631578947</v>
      </c>
      <c r="I121" s="81" t="n">
        <f aca="false">H121*CHOOSE(D121,'W Programs'!L9,'W Programs'!Q9,'W Programs'!R9)*INDEX('W Assumptions'!$D$17:$F$17,1,D121)</f>
        <v>5986.84210526316</v>
      </c>
      <c r="J121" s="81" t="n">
        <f aca="false">H121*'W Programs'!$M$9*'W Programs'!$O$9</f>
        <v>0</v>
      </c>
      <c r="K121" s="149" t="n">
        <f aca="false">'W Programs'!$N$9</f>
        <v>0.3</v>
      </c>
      <c r="L121" s="81" t="n">
        <f aca="false">H121*K121+H93*(1-K121)</f>
        <v>9210.52631578947</v>
      </c>
      <c r="M121" s="81" t="n">
        <f aca="false">L121*'W Programs'!$M$9*'W Programs'!$O$9</f>
        <v>0</v>
      </c>
      <c r="N121" s="81" t="n">
        <f aca="false">I121*'W Assumptions'!$D$55+I107*(1-'W Assumptions'!$D$55)</f>
        <v>5986.84210526316</v>
      </c>
      <c r="O121" s="81" t="n">
        <f aca="false">H121-I121-J121</f>
        <v>3223.68421052632</v>
      </c>
    </row>
    <row r="122" customFormat="false" ht="21" hidden="false" customHeight="true" outlineLevel="0" collapsed="false">
      <c r="C122" s="144" t="n">
        <f aca="false">46508</f>
        <v>46508</v>
      </c>
      <c r="D122" s="81" t="n">
        <f aca="false">1</f>
        <v>1</v>
      </c>
      <c r="E122" s="81" t="str">
        <f aca="false">'W Programs'!C10</f>
        <v>TLI</v>
      </c>
      <c r="F122" s="81" t="str">
        <f aca="false">'W Programs'!D10</f>
        <v>Digital</v>
      </c>
      <c r="G122" s="145" t="n">
        <f aca="false">INDEX('W Programs'!$F$10:$H$10,1,D122)*INDEX('W Assumptions'!$D$7:$F$7,1,D122)*'W Assumptions'!D103/SUM('W Assumptions'!D$95:D$106)</f>
        <v>14.7368421052632</v>
      </c>
      <c r="H122" s="81" t="n">
        <f aca="false">G122*INDEX('W Programs'!$I$10:$K$10,1,D122)*INDEX('W Assumptions'!$D$12:$F$12,1,D122)</f>
        <v>5157.89473684211</v>
      </c>
      <c r="I122" s="81" t="n">
        <f aca="false">H122*CHOOSE(D122,'W Programs'!L10,'W Programs'!Q10,'W Programs'!R10)*INDEX('W Assumptions'!$D$17:$F$17,1,D122)</f>
        <v>1031.57894736842</v>
      </c>
      <c r="J122" s="81" t="n">
        <f aca="false">H122*'W Programs'!$M$10*'W Programs'!$O$10</f>
        <v>0</v>
      </c>
      <c r="K122" s="149" t="n">
        <f aca="false">'W Programs'!$N$10</f>
        <v>1</v>
      </c>
      <c r="L122" s="81" t="n">
        <f aca="false">H122*K122+H94*(1-K122)</f>
        <v>5157.89473684211</v>
      </c>
      <c r="M122" s="81" t="n">
        <f aca="false">L122*'W Programs'!$M$10*'W Programs'!$O$10</f>
        <v>0</v>
      </c>
      <c r="N122" s="81" t="n">
        <f aca="false">I122*'W Assumptions'!$D$55+I108*(1-'W Assumptions'!$D$55)</f>
        <v>1031.57894736842</v>
      </c>
      <c r="O122" s="81" t="n">
        <f aca="false">H122-I122-J122</f>
        <v>4126.31578947368</v>
      </c>
    </row>
    <row r="123" customFormat="false" ht="21" hidden="false" customHeight="true" outlineLevel="0" collapsed="false">
      <c r="C123" s="144" t="n">
        <f aca="false">46508</f>
        <v>46508</v>
      </c>
      <c r="D123" s="81" t="n">
        <f aca="false">1</f>
        <v>1</v>
      </c>
      <c r="E123" s="81" t="str">
        <f aca="false">'W Programs'!C11</f>
        <v>TLI</v>
      </c>
      <c r="F123" s="81" t="str">
        <f aca="false">'W Programs'!D11</f>
        <v>Retail</v>
      </c>
      <c r="G123" s="145" t="n">
        <f aca="false">INDEX('W Programs'!$F$11:$H$11,1,D123)*INDEX('W Assumptions'!$D$7:$F$7,1,D123)*'W Assumptions'!D103/SUM('W Assumptions'!D$95:D$106)</f>
        <v>44.2105263157895</v>
      </c>
      <c r="H123" s="81" t="n">
        <f aca="false">G123*INDEX('W Programs'!$I$11:$K$11,1,D123)*INDEX('W Assumptions'!$D$12:$F$12,1,D123)</f>
        <v>10610.5263157895</v>
      </c>
      <c r="I123" s="81" t="n">
        <f aca="false">H123*CHOOSE(D123,'W Programs'!L11,'W Programs'!Q11,'W Programs'!R11)*INDEX('W Assumptions'!$D$17:$F$17,1,D123)</f>
        <v>5835.78947368421</v>
      </c>
      <c r="J123" s="81" t="n">
        <f aca="false">H123*'W Programs'!$M$11*'W Programs'!$O$11</f>
        <v>0</v>
      </c>
      <c r="K123" s="149" t="n">
        <f aca="false">'W Programs'!$N$11</f>
        <v>1</v>
      </c>
      <c r="L123" s="81" t="n">
        <f aca="false">H123*K123+H95*(1-K123)</f>
        <v>10610.5263157895</v>
      </c>
      <c r="M123" s="81" t="n">
        <f aca="false">L123*'W Programs'!$M$11*'W Programs'!$O$11</f>
        <v>0</v>
      </c>
      <c r="N123" s="81" t="n">
        <f aca="false">I123*'W Assumptions'!$D$55+I109*(1-'W Assumptions'!$D$55)</f>
        <v>5835.78947368421</v>
      </c>
      <c r="O123" s="81" t="n">
        <f aca="false">H123-I123-J123</f>
        <v>4774.73684210526</v>
      </c>
    </row>
    <row r="124" customFormat="false" ht="21" hidden="false" customHeight="true" outlineLevel="0" collapsed="false">
      <c r="C124" s="144" t="n">
        <f aca="false">46508</f>
        <v>46508</v>
      </c>
      <c r="D124" s="81" t="n">
        <f aca="false">1</f>
        <v>1</v>
      </c>
      <c r="E124" s="81" t="str">
        <f aca="false">'W Programs'!C12</f>
        <v>TLI</v>
      </c>
      <c r="F124" s="81" t="str">
        <f aca="false">'W Programs'!D12</f>
        <v>Licensing</v>
      </c>
      <c r="G124" s="145" t="n">
        <f aca="false">INDEX('W Programs'!$F$12:$H$12,1,D124)*INDEX('W Assumptions'!$D$7:$F$7,1,D124)*'W Assumptions'!D103/SUM('W Assumptions'!D$95:D$106)</f>
        <v>0.0368421052631579</v>
      </c>
      <c r="H124" s="81" t="n">
        <f aca="false">G124*INDEX('W Programs'!$I$12:$K$12,1,D124)*INDEX('W Assumptions'!$D$12:$F$12,1,D124)</f>
        <v>3684.21052631579</v>
      </c>
      <c r="I124" s="81" t="n">
        <f aca="false">H124*CHOOSE(D124,'W Programs'!L12,'W Programs'!Q12,'W Programs'!R12)*INDEX('W Assumptions'!$D$17:$F$17,1,D124)</f>
        <v>552.631578947368</v>
      </c>
      <c r="J124" s="81" t="n">
        <f aca="false">H124*'W Programs'!$M$12*'W Programs'!$O$12</f>
        <v>0</v>
      </c>
      <c r="K124" s="149" t="n">
        <f aca="false">'W Programs'!$N$12</f>
        <v>0.3</v>
      </c>
      <c r="L124" s="81" t="n">
        <f aca="false">H124*K124+H96*(1-K124)</f>
        <v>3684.21052631579</v>
      </c>
      <c r="M124" s="81" t="n">
        <f aca="false">L124*'W Programs'!$M$12*'W Programs'!$O$12</f>
        <v>0</v>
      </c>
      <c r="N124" s="81" t="n">
        <f aca="false">I124*'W Assumptions'!$D$55+I110*(1-'W Assumptions'!$D$55)</f>
        <v>552.631578947368</v>
      </c>
      <c r="O124" s="81" t="n">
        <f aca="false">H124-I124-J124</f>
        <v>3131.57894736842</v>
      </c>
    </row>
    <row r="125" customFormat="false" ht="21" hidden="false" customHeight="true" outlineLevel="0" collapsed="false">
      <c r="C125" s="144" t="n">
        <f aca="false">46508</f>
        <v>46508</v>
      </c>
      <c r="D125" s="81" t="n">
        <f aca="false">1</f>
        <v>1</v>
      </c>
      <c r="E125" s="81" t="str">
        <f aca="false">'W Programs'!C13</f>
        <v>WOO IP</v>
      </c>
      <c r="F125" s="81" t="str">
        <f aca="false">'W Programs'!D13</f>
        <v>Schools</v>
      </c>
      <c r="G125" s="145" t="n">
        <f aca="false">INDEX('W Programs'!$F$13:$H$13,1,D125)*INDEX('W Assumptions'!$D$7:$F$7,1,D125)*'W Assumptions'!D103/SUM('W Assumptions'!D$95:D$106)</f>
        <v>0.410526315789474</v>
      </c>
      <c r="H125" s="81" t="n">
        <f aca="false">G125*INDEX('W Programs'!$I$13:$K$13,1,D125)*INDEX('W Assumptions'!$D$12:$F$12,1,D125)</f>
        <v>57473.6842105263</v>
      </c>
      <c r="I125" s="81" t="n">
        <f aca="false">H125*CHOOSE(D125,'W Programs'!L13,'W Programs'!Q13,'W Programs'!R13)*INDEX('W Assumptions'!$D$17:$F$17,1,D125)</f>
        <v>24138.9473684211</v>
      </c>
      <c r="J125" s="81" t="n">
        <f aca="false">H125*'W Programs'!$M$13*'W Programs'!$O$13</f>
        <v>0</v>
      </c>
      <c r="K125" s="149" t="n">
        <f aca="false">'W Programs'!$N$13</f>
        <v>0.3</v>
      </c>
      <c r="L125" s="81" t="n">
        <f aca="false">H125*K125+H97*(1-K125)</f>
        <v>57473.6842105263</v>
      </c>
      <c r="M125" s="81" t="n">
        <f aca="false">L125*'W Programs'!$M$13*'W Programs'!$O$13</f>
        <v>0</v>
      </c>
      <c r="N125" s="81" t="n">
        <f aca="false">I125*'W Assumptions'!$D$55+I111*(1-'W Assumptions'!$D$55)</f>
        <v>24138.9473684211</v>
      </c>
      <c r="O125" s="81" t="n">
        <f aca="false">H125-I125-J125</f>
        <v>33334.7368421053</v>
      </c>
    </row>
    <row r="126" customFormat="false" ht="21" hidden="false" customHeight="true" outlineLevel="0" collapsed="false">
      <c r="C126" s="144" t="n">
        <f aca="false">46508</f>
        <v>46508</v>
      </c>
      <c r="D126" s="81" t="n">
        <f aca="false">1</f>
        <v>1</v>
      </c>
      <c r="E126" s="81" t="str">
        <f aca="false">'W Programs'!C14</f>
        <v>WOO IP</v>
      </c>
      <c r="F126" s="81" t="str">
        <f aca="false">'W Programs'!D14</f>
        <v>Activations</v>
      </c>
      <c r="G126" s="145" t="n">
        <f aca="false">INDEX('W Programs'!$F$14:$H$14,1,D126)*INDEX('W Assumptions'!$D$7:$F$7,1,D126)*'W Assumptions'!D103/SUM('W Assumptions'!D$95:D$106)</f>
        <v>0.547368421052632</v>
      </c>
      <c r="H126" s="81" t="n">
        <f aca="false">G126*INDEX('W Programs'!$I$14:$K$14,1,D126)*INDEX('W Assumptions'!$D$12:$F$12,1,D126)</f>
        <v>35578.9473684211</v>
      </c>
      <c r="I126" s="81" t="n">
        <f aca="false">H126*CHOOSE(D126,'W Programs'!L14,'W Programs'!Q14,'W Programs'!R14)*INDEX('W Assumptions'!$D$17:$F$17,1,D126)</f>
        <v>19568.4210526316</v>
      </c>
      <c r="J126" s="81" t="n">
        <f aca="false">H126*'W Programs'!$M$14*'W Programs'!$O$14</f>
        <v>0</v>
      </c>
      <c r="K126" s="149" t="n">
        <f aca="false">'W Programs'!$N$14</f>
        <v>0.3</v>
      </c>
      <c r="L126" s="81" t="n">
        <f aca="false">H126*K126+H98*(1-K126)</f>
        <v>35578.9473684211</v>
      </c>
      <c r="M126" s="81" t="n">
        <f aca="false">L126*'W Programs'!$M$14*'W Programs'!$O$14</f>
        <v>0</v>
      </c>
      <c r="N126" s="81" t="n">
        <f aca="false">I126*'W Assumptions'!$D$55+I112*(1-'W Assumptions'!$D$55)</f>
        <v>19568.4210526316</v>
      </c>
      <c r="O126" s="81" t="n">
        <f aca="false">H126-I126-J126</f>
        <v>16010.5263157895</v>
      </c>
    </row>
    <row r="127" customFormat="false" ht="21" hidden="false" customHeight="true" outlineLevel="0" collapsed="false">
      <c r="C127" s="144" t="n">
        <f aca="false">46508</f>
        <v>46508</v>
      </c>
      <c r="D127" s="81" t="n">
        <f aca="false">1</f>
        <v>1</v>
      </c>
      <c r="E127" s="81" t="str">
        <f aca="false">'W Programs'!C15</f>
        <v>WOO IP</v>
      </c>
      <c r="F127" s="81" t="str">
        <f aca="false">'W Programs'!D15</f>
        <v>Workshops</v>
      </c>
      <c r="G127" s="145" t="n">
        <f aca="false">INDEX('W Programs'!$F$15:$H$15,1,D127)*INDEX('W Assumptions'!$D$7:$F$7,1,D127)*'W Assumptions'!D103/SUM('W Assumptions'!D$95:D$106)</f>
        <v>6.15789473684211</v>
      </c>
      <c r="H127" s="81" t="n">
        <f aca="false">G127*INDEX('W Programs'!$I$15:$K$15,1,D127)*INDEX('W Assumptions'!$D$12:$F$12,1,D127)</f>
        <v>24631.5789473684</v>
      </c>
      <c r="I127" s="81" t="n">
        <f aca="false">H127*CHOOSE(D127,'W Programs'!L15,'W Programs'!Q15,'W Programs'!R15)*INDEX('W Assumptions'!$D$17:$F$17,1,D127)</f>
        <v>11084.2105263158</v>
      </c>
      <c r="J127" s="81" t="n">
        <f aca="false">H127*'W Programs'!$M$15*'W Programs'!$O$15</f>
        <v>0</v>
      </c>
      <c r="K127" s="149" t="n">
        <f aca="false">'W Programs'!$N$15</f>
        <v>0.7</v>
      </c>
      <c r="L127" s="81" t="n">
        <f aca="false">H127*K127+H99*(1-K127)</f>
        <v>24631.5789473684</v>
      </c>
      <c r="M127" s="81" t="n">
        <f aca="false">L127*'W Programs'!$M$15*'W Programs'!$O$15</f>
        <v>0</v>
      </c>
      <c r="N127" s="81" t="n">
        <f aca="false">I127*'W Assumptions'!$D$55+I113*(1-'W Assumptions'!$D$55)</f>
        <v>11084.2105263158</v>
      </c>
      <c r="O127" s="81" t="n">
        <f aca="false">H127-I127-J127</f>
        <v>13547.3684210526</v>
      </c>
    </row>
    <row r="128" customFormat="false" ht="21" hidden="false" customHeight="true" outlineLevel="0" collapsed="false">
      <c r="C128" s="144" t="n">
        <f aca="false">46508</f>
        <v>46508</v>
      </c>
      <c r="D128" s="81" t="n">
        <f aca="false">1</f>
        <v>1</v>
      </c>
      <c r="E128" s="81" t="str">
        <f aca="false">'W Programs'!C16</f>
        <v>WOO IP</v>
      </c>
      <c r="F128" s="81" t="str">
        <f aca="false">'W Programs'!D16</f>
        <v>Installations</v>
      </c>
      <c r="G128" s="145" t="n">
        <f aca="false">INDEX('W Programs'!$F$16:$H$16,1,D128)*INDEX('W Assumptions'!$D$7:$F$7,1,D128)*'W Assumptions'!D103/SUM('W Assumptions'!D$95:D$106)</f>
        <v>0.068421052631579</v>
      </c>
      <c r="H128" s="81" t="n">
        <f aca="false">G128*INDEX('W Programs'!$I$16:$K$16,1,D128)*INDEX('W Assumptions'!$D$12:$F$12,1,D128)</f>
        <v>17105.2631578947</v>
      </c>
      <c r="I128" s="81" t="n">
        <f aca="false">H128*CHOOSE(D128,'W Programs'!L16,'W Programs'!Q16,'W Programs'!R16)*INDEX('W Assumptions'!$D$17:$F$17,1,D128)</f>
        <v>11118.4210526316</v>
      </c>
      <c r="J128" s="81" t="n">
        <f aca="false">H128*'W Programs'!$M$16*'W Programs'!$O$16</f>
        <v>0</v>
      </c>
      <c r="K128" s="149" t="n">
        <f aca="false">'W Programs'!$N$16</f>
        <v>0.3</v>
      </c>
      <c r="L128" s="81" t="n">
        <f aca="false">H128*K128+H100*(1-K128)</f>
        <v>17105.2631578947</v>
      </c>
      <c r="M128" s="81" t="n">
        <f aca="false">L128*'W Programs'!$M$16*'W Programs'!$O$16</f>
        <v>0</v>
      </c>
      <c r="N128" s="81" t="n">
        <f aca="false">I128*'W Assumptions'!$D$55+I114*(1-'W Assumptions'!$D$55)</f>
        <v>11118.4210526316</v>
      </c>
      <c r="O128" s="81" t="n">
        <f aca="false">H128-I128-J128</f>
        <v>5986.84210526316</v>
      </c>
    </row>
    <row r="129" customFormat="false" ht="21" hidden="false" customHeight="true" outlineLevel="0" collapsed="false">
      <c r="C129" s="144" t="n">
        <f aca="false">46508</f>
        <v>46508</v>
      </c>
      <c r="D129" s="81" t="n">
        <f aca="false">1</f>
        <v>1</v>
      </c>
      <c r="E129" s="81" t="str">
        <f aca="false">'W Programs'!C17</f>
        <v>WOO IP</v>
      </c>
      <c r="F129" s="81" t="str">
        <f aca="false">'W Programs'!D17</f>
        <v>Digital</v>
      </c>
      <c r="G129" s="145" t="n">
        <f aca="false">INDEX('W Programs'!$F$17:$H$17,1,D129)*INDEX('W Assumptions'!$D$7:$F$7,1,D129)*'W Assumptions'!D103/SUM('W Assumptions'!D$95:D$106)</f>
        <v>27.3684210526316</v>
      </c>
      <c r="H129" s="81" t="n">
        <f aca="false">G129*INDEX('W Programs'!$I$17:$K$17,1,D129)*INDEX('W Assumptions'!$D$12:$F$12,1,D129)</f>
        <v>9578.94736842105</v>
      </c>
      <c r="I129" s="81" t="n">
        <f aca="false">H129*CHOOSE(D129,'W Programs'!L17,'W Programs'!Q17,'W Programs'!R17)*INDEX('W Assumptions'!$D$17:$F$17,1,D129)</f>
        <v>1915.78947368421</v>
      </c>
      <c r="J129" s="81" t="n">
        <f aca="false">H129*'W Programs'!$M$17*'W Programs'!$O$17</f>
        <v>0</v>
      </c>
      <c r="K129" s="149" t="n">
        <f aca="false">'W Programs'!$N$17</f>
        <v>1</v>
      </c>
      <c r="L129" s="81" t="n">
        <f aca="false">H129*K129+H101*(1-K129)</f>
        <v>9578.94736842105</v>
      </c>
      <c r="M129" s="81" t="n">
        <f aca="false">L129*'W Programs'!$M$17*'W Programs'!$O$17</f>
        <v>0</v>
      </c>
      <c r="N129" s="81" t="n">
        <f aca="false">I129*'W Assumptions'!$D$55+I115*(1-'W Assumptions'!$D$55)</f>
        <v>1915.78947368421</v>
      </c>
      <c r="O129" s="81" t="n">
        <f aca="false">H129-I129-J129</f>
        <v>7663.15789473684</v>
      </c>
    </row>
    <row r="130" customFormat="false" ht="21" hidden="false" customHeight="true" outlineLevel="0" collapsed="false">
      <c r="C130" s="144" t="n">
        <f aca="false">46508</f>
        <v>46508</v>
      </c>
      <c r="D130" s="81" t="n">
        <f aca="false">1</f>
        <v>1</v>
      </c>
      <c r="E130" s="81" t="str">
        <f aca="false">'W Programs'!C18</f>
        <v>WOO IP</v>
      </c>
      <c r="F130" s="81" t="str">
        <f aca="false">'W Programs'!D18</f>
        <v>Retail</v>
      </c>
      <c r="G130" s="145" t="n">
        <f aca="false">INDEX('W Programs'!$F$18:$H$18,1,D130)*INDEX('W Assumptions'!$D$7:$F$7,1,D130)*'W Assumptions'!D103/SUM('W Assumptions'!D$95:D$106)</f>
        <v>82.1052631578947</v>
      </c>
      <c r="H130" s="81" t="n">
        <f aca="false">G130*INDEX('W Programs'!$I$18:$K$18,1,D130)*INDEX('W Assumptions'!$D$12:$F$12,1,D130)</f>
        <v>19705.2631578947</v>
      </c>
      <c r="I130" s="81" t="n">
        <f aca="false">H130*CHOOSE(D130,'W Programs'!L18,'W Programs'!Q18,'W Programs'!R18)*INDEX('W Assumptions'!$D$17:$F$17,1,D130)</f>
        <v>10837.8947368421</v>
      </c>
      <c r="J130" s="81" t="n">
        <f aca="false">H130*'W Programs'!$M$18*'W Programs'!$O$18</f>
        <v>0</v>
      </c>
      <c r="K130" s="149" t="n">
        <f aca="false">'W Programs'!$N$18</f>
        <v>1</v>
      </c>
      <c r="L130" s="81" t="n">
        <f aca="false">H130*K130+H102*(1-K130)</f>
        <v>19705.2631578947</v>
      </c>
      <c r="M130" s="81" t="n">
        <f aca="false">L130*'W Programs'!$M$18*'W Programs'!$O$18</f>
        <v>0</v>
      </c>
      <c r="N130" s="81" t="n">
        <f aca="false">I130*'W Assumptions'!$D$55+I116*(1-'W Assumptions'!$D$55)</f>
        <v>10837.8947368421</v>
      </c>
      <c r="O130" s="81" t="n">
        <f aca="false">H130-I130-J130</f>
        <v>8867.36842105263</v>
      </c>
    </row>
    <row r="131" customFormat="false" ht="21" hidden="false" customHeight="true" outlineLevel="0" collapsed="false">
      <c r="C131" s="144" t="n">
        <f aca="false">46508</f>
        <v>46508</v>
      </c>
      <c r="D131" s="81" t="n">
        <f aca="false">1</f>
        <v>1</v>
      </c>
      <c r="E131" s="81" t="str">
        <f aca="false">'W Programs'!C19</f>
        <v>WOO IP</v>
      </c>
      <c r="F131" s="81" t="str">
        <f aca="false">'W Programs'!D19</f>
        <v>Licensing</v>
      </c>
      <c r="G131" s="145" t="n">
        <f aca="false">INDEX('W Programs'!$F$19:$H$19,1,D131)*INDEX('W Assumptions'!$D$7:$F$7,1,D131)*'W Assumptions'!D103/SUM('W Assumptions'!D$95:D$106)</f>
        <v>0.068421052631579</v>
      </c>
      <c r="H131" s="81" t="n">
        <f aca="false">G131*INDEX('W Programs'!$I$19:$K$19,1,D131)*INDEX('W Assumptions'!$D$12:$F$12,1,D131)</f>
        <v>6842.1052631579</v>
      </c>
      <c r="I131" s="81" t="n">
        <f aca="false">H131*CHOOSE(D131,'W Programs'!L19,'W Programs'!Q19,'W Programs'!R19)*INDEX('W Assumptions'!$D$17:$F$17,1,D131)</f>
        <v>1026.31578947368</v>
      </c>
      <c r="J131" s="81" t="n">
        <f aca="false">H131*'W Programs'!$M$19*'W Programs'!$O$19</f>
        <v>0</v>
      </c>
      <c r="K131" s="149" t="n">
        <f aca="false">'W Programs'!$N$19</f>
        <v>0.3</v>
      </c>
      <c r="L131" s="81" t="n">
        <f aca="false">H131*K131+H103*(1-K131)</f>
        <v>6842.10526315789</v>
      </c>
      <c r="M131" s="81" t="n">
        <f aca="false">L131*'W Programs'!$M$19*'W Programs'!$O$19</f>
        <v>0</v>
      </c>
      <c r="N131" s="81" t="n">
        <f aca="false">I131*'W Assumptions'!$D$55+I117*(1-'W Assumptions'!$D$55)</f>
        <v>1026.31578947368</v>
      </c>
      <c r="O131" s="81" t="n">
        <f aca="false">H131-I131-J131</f>
        <v>5815.78947368421</v>
      </c>
    </row>
    <row r="132" customFormat="false" ht="21" hidden="false" customHeight="true" outlineLevel="0" collapsed="false">
      <c r="C132" s="144" t="n">
        <f aca="false">46539</f>
        <v>46539</v>
      </c>
      <c r="D132" s="81" t="n">
        <f aca="false">1</f>
        <v>1</v>
      </c>
      <c r="E132" s="81" t="str">
        <f aca="false">'W Programs'!C6</f>
        <v>TLI</v>
      </c>
      <c r="F132" s="81" t="str">
        <f aca="false">'W Programs'!D6</f>
        <v>Schools</v>
      </c>
      <c r="G132" s="145" t="n">
        <f aca="false">INDEX('W Programs'!$F$6:$H$6,1,D132)*INDEX('W Assumptions'!$D$7:$F$7,1,D132)*'W Assumptions'!D104/SUM('W Assumptions'!D$95:D$106)</f>
        <v>0.221052631578947</v>
      </c>
      <c r="H132" s="81" t="n">
        <f aca="false">G132*INDEX('W Programs'!$I$6:$K$6,1,D132)*INDEX('W Assumptions'!$D$12:$F$12,1,D132)</f>
        <v>30947.3684210526</v>
      </c>
      <c r="I132" s="81" t="n">
        <f aca="false">H132*CHOOSE(D132,'W Programs'!L6,'W Programs'!Q6,'W Programs'!R6)*INDEX('W Assumptions'!$D$17:$F$17,1,D132)</f>
        <v>12997.8947368421</v>
      </c>
      <c r="J132" s="81" t="n">
        <f aca="false">H132*'W Programs'!$M$6*'W Programs'!$O$6</f>
        <v>0</v>
      </c>
      <c r="K132" s="149" t="n">
        <f aca="false">'W Programs'!$N$6</f>
        <v>0.3</v>
      </c>
      <c r="L132" s="81" t="n">
        <f aca="false">H132*K132+H104*(1-K132)</f>
        <v>30947.3684210526</v>
      </c>
      <c r="M132" s="81" t="n">
        <f aca="false">L132*'W Programs'!$M$6*'W Programs'!$O$6</f>
        <v>0</v>
      </c>
      <c r="N132" s="81" t="n">
        <f aca="false">I132*'W Assumptions'!$D$55+I118*(1-'W Assumptions'!$D$55)</f>
        <v>12997.8947368421</v>
      </c>
      <c r="O132" s="81" t="n">
        <f aca="false">H132-I132-J132</f>
        <v>17949.4736842105</v>
      </c>
    </row>
    <row r="133" customFormat="false" ht="21" hidden="false" customHeight="true" outlineLevel="0" collapsed="false">
      <c r="C133" s="144" t="n">
        <f aca="false">46539</f>
        <v>46539</v>
      </c>
      <c r="D133" s="81" t="n">
        <f aca="false">1</f>
        <v>1</v>
      </c>
      <c r="E133" s="81" t="str">
        <f aca="false">'W Programs'!C7</f>
        <v>TLI</v>
      </c>
      <c r="F133" s="81" t="str">
        <f aca="false">'W Programs'!D7</f>
        <v>Activations</v>
      </c>
      <c r="G133" s="145" t="n">
        <f aca="false">INDEX('W Programs'!$F$7:$H$7,1,D133)*INDEX('W Assumptions'!$D$7:$F$7,1,D133)*'W Assumptions'!D104/SUM('W Assumptions'!D$95:D$106)</f>
        <v>0.294736842105263</v>
      </c>
      <c r="H133" s="81" t="n">
        <f aca="false">G133*INDEX('W Programs'!$I$7:$K$7,1,D133)*INDEX('W Assumptions'!$D$12:$F$12,1,D133)</f>
        <v>19157.8947368421</v>
      </c>
      <c r="I133" s="81" t="n">
        <f aca="false">H133*CHOOSE(D133,'W Programs'!L7,'W Programs'!Q7,'W Programs'!R7)*INDEX('W Assumptions'!$D$17:$F$17,1,D133)</f>
        <v>10536.8421052632</v>
      </c>
      <c r="J133" s="81" t="n">
        <f aca="false">H133*'W Programs'!$M$7*'W Programs'!$O$7</f>
        <v>0</v>
      </c>
      <c r="K133" s="149" t="n">
        <f aca="false">'W Programs'!$N$7</f>
        <v>0.3</v>
      </c>
      <c r="L133" s="81" t="n">
        <f aca="false">H133*K133+H105*(1-K133)</f>
        <v>19157.8947368421</v>
      </c>
      <c r="M133" s="81" t="n">
        <f aca="false">L133*'W Programs'!$M$7*'W Programs'!$O$7</f>
        <v>0</v>
      </c>
      <c r="N133" s="81" t="n">
        <f aca="false">I133*'W Assumptions'!$D$55+I119*(1-'W Assumptions'!$D$55)</f>
        <v>10536.8421052632</v>
      </c>
      <c r="O133" s="81" t="n">
        <f aca="false">H133-I133-J133</f>
        <v>8621.05263157895</v>
      </c>
    </row>
    <row r="134" customFormat="false" ht="21" hidden="false" customHeight="true" outlineLevel="0" collapsed="false">
      <c r="C134" s="144" t="n">
        <f aca="false">46539</f>
        <v>46539</v>
      </c>
      <c r="D134" s="81" t="n">
        <f aca="false">1</f>
        <v>1</v>
      </c>
      <c r="E134" s="81" t="str">
        <f aca="false">'W Programs'!C8</f>
        <v>TLI</v>
      </c>
      <c r="F134" s="81" t="str">
        <f aca="false">'W Programs'!D8</f>
        <v>Workshops</v>
      </c>
      <c r="G134" s="145" t="n">
        <f aca="false">INDEX('W Programs'!$F$8:$H$8,1,D134)*INDEX('W Assumptions'!$D$7:$F$7,1,D134)*'W Assumptions'!D104/SUM('W Assumptions'!D$95:D$106)</f>
        <v>3.31578947368421</v>
      </c>
      <c r="H134" s="81" t="n">
        <f aca="false">G134*INDEX('W Programs'!$I$8:$K$8,1,D134)*INDEX('W Assumptions'!$D$12:$F$12,1,D134)</f>
        <v>13263.1578947368</v>
      </c>
      <c r="I134" s="81" t="n">
        <f aca="false">H134*CHOOSE(D134,'W Programs'!L8,'W Programs'!Q8,'W Programs'!R8)*INDEX('W Assumptions'!$D$17:$F$17,1,D134)</f>
        <v>5968.42105263158</v>
      </c>
      <c r="J134" s="81" t="n">
        <f aca="false">H134*'W Programs'!$M$8*'W Programs'!$O$8</f>
        <v>0</v>
      </c>
      <c r="K134" s="149" t="n">
        <f aca="false">'W Programs'!$N$8</f>
        <v>0.7</v>
      </c>
      <c r="L134" s="81" t="n">
        <f aca="false">H134*K134+H106*(1-K134)</f>
        <v>13263.1578947368</v>
      </c>
      <c r="M134" s="81" t="n">
        <f aca="false">L134*'W Programs'!$M$8*'W Programs'!$O$8</f>
        <v>0</v>
      </c>
      <c r="N134" s="81" t="n">
        <f aca="false">I134*'W Assumptions'!$D$55+I120*(1-'W Assumptions'!$D$55)</f>
        <v>5968.42105263158</v>
      </c>
      <c r="O134" s="81" t="n">
        <f aca="false">H134-I134-J134</f>
        <v>7294.73684210526</v>
      </c>
    </row>
    <row r="135" customFormat="false" ht="21" hidden="false" customHeight="true" outlineLevel="0" collapsed="false">
      <c r="C135" s="144" t="n">
        <f aca="false">46539</f>
        <v>46539</v>
      </c>
      <c r="D135" s="81" t="n">
        <f aca="false">1</f>
        <v>1</v>
      </c>
      <c r="E135" s="81" t="str">
        <f aca="false">'W Programs'!C9</f>
        <v>TLI</v>
      </c>
      <c r="F135" s="81" t="str">
        <f aca="false">'W Programs'!D9</f>
        <v>Installations</v>
      </c>
      <c r="G135" s="145" t="n">
        <f aca="false">INDEX('W Programs'!$F$9:$H$9,1,D135)*INDEX('W Assumptions'!$D$7:$F$7,1,D135)*'W Assumptions'!D104/SUM('W Assumptions'!D$95:D$106)</f>
        <v>0.0368421052631579</v>
      </c>
      <c r="H135" s="81" t="n">
        <f aca="false">G135*INDEX('W Programs'!$I$9:$K$9,1,D135)*INDEX('W Assumptions'!$D$12:$F$12,1,D135)</f>
        <v>9210.52631578947</v>
      </c>
      <c r="I135" s="81" t="n">
        <f aca="false">H135*CHOOSE(D135,'W Programs'!L9,'W Programs'!Q9,'W Programs'!R9)*INDEX('W Assumptions'!$D$17:$F$17,1,D135)</f>
        <v>5986.84210526316</v>
      </c>
      <c r="J135" s="81" t="n">
        <f aca="false">H135*'W Programs'!$M$9*'W Programs'!$O$9</f>
        <v>0</v>
      </c>
      <c r="K135" s="149" t="n">
        <f aca="false">'W Programs'!$N$9</f>
        <v>0.3</v>
      </c>
      <c r="L135" s="81" t="n">
        <f aca="false">H135*K135+H107*(1-K135)</f>
        <v>9210.52631578947</v>
      </c>
      <c r="M135" s="81" t="n">
        <f aca="false">L135*'W Programs'!$M$9*'W Programs'!$O$9</f>
        <v>0</v>
      </c>
      <c r="N135" s="81" t="n">
        <f aca="false">I135*'W Assumptions'!$D$55+I121*(1-'W Assumptions'!$D$55)</f>
        <v>5986.84210526316</v>
      </c>
      <c r="O135" s="81" t="n">
        <f aca="false">H135-I135-J135</f>
        <v>3223.68421052632</v>
      </c>
    </row>
    <row r="136" customFormat="false" ht="21" hidden="false" customHeight="true" outlineLevel="0" collapsed="false">
      <c r="C136" s="144" t="n">
        <f aca="false">46539</f>
        <v>46539</v>
      </c>
      <c r="D136" s="81" t="n">
        <f aca="false">1</f>
        <v>1</v>
      </c>
      <c r="E136" s="81" t="str">
        <f aca="false">'W Programs'!C10</f>
        <v>TLI</v>
      </c>
      <c r="F136" s="81" t="str">
        <f aca="false">'W Programs'!D10</f>
        <v>Digital</v>
      </c>
      <c r="G136" s="145" t="n">
        <f aca="false">INDEX('W Programs'!$F$10:$H$10,1,D136)*INDEX('W Assumptions'!$D$7:$F$7,1,D136)*'W Assumptions'!D104/SUM('W Assumptions'!D$95:D$106)</f>
        <v>14.7368421052632</v>
      </c>
      <c r="H136" s="81" t="n">
        <f aca="false">G136*INDEX('W Programs'!$I$10:$K$10,1,D136)*INDEX('W Assumptions'!$D$12:$F$12,1,D136)</f>
        <v>5157.89473684211</v>
      </c>
      <c r="I136" s="81" t="n">
        <f aca="false">H136*CHOOSE(D136,'W Programs'!L10,'W Programs'!Q10,'W Programs'!R10)*INDEX('W Assumptions'!$D$17:$F$17,1,D136)</f>
        <v>1031.57894736842</v>
      </c>
      <c r="J136" s="81" t="n">
        <f aca="false">H136*'W Programs'!$M$10*'W Programs'!$O$10</f>
        <v>0</v>
      </c>
      <c r="K136" s="149" t="n">
        <f aca="false">'W Programs'!$N$10</f>
        <v>1</v>
      </c>
      <c r="L136" s="81" t="n">
        <f aca="false">H136*K136+H108*(1-K136)</f>
        <v>5157.89473684211</v>
      </c>
      <c r="M136" s="81" t="n">
        <f aca="false">L136*'W Programs'!$M$10*'W Programs'!$O$10</f>
        <v>0</v>
      </c>
      <c r="N136" s="81" t="n">
        <f aca="false">I136*'W Assumptions'!$D$55+I122*(1-'W Assumptions'!$D$55)</f>
        <v>1031.57894736842</v>
      </c>
      <c r="O136" s="81" t="n">
        <f aca="false">H136-I136-J136</f>
        <v>4126.31578947368</v>
      </c>
    </row>
    <row r="137" customFormat="false" ht="21" hidden="false" customHeight="true" outlineLevel="0" collapsed="false">
      <c r="C137" s="144" t="n">
        <f aca="false">46539</f>
        <v>46539</v>
      </c>
      <c r="D137" s="81" t="n">
        <f aca="false">1</f>
        <v>1</v>
      </c>
      <c r="E137" s="81" t="str">
        <f aca="false">'W Programs'!C11</f>
        <v>TLI</v>
      </c>
      <c r="F137" s="81" t="str">
        <f aca="false">'W Programs'!D11</f>
        <v>Retail</v>
      </c>
      <c r="G137" s="145" t="n">
        <f aca="false">INDEX('W Programs'!$F$11:$H$11,1,D137)*INDEX('W Assumptions'!$D$7:$F$7,1,D137)*'W Assumptions'!D104/SUM('W Assumptions'!D$95:D$106)</f>
        <v>44.2105263157895</v>
      </c>
      <c r="H137" s="81" t="n">
        <f aca="false">G137*INDEX('W Programs'!$I$11:$K$11,1,D137)*INDEX('W Assumptions'!$D$12:$F$12,1,D137)</f>
        <v>10610.5263157895</v>
      </c>
      <c r="I137" s="81" t="n">
        <f aca="false">H137*CHOOSE(D137,'W Programs'!L11,'W Programs'!Q11,'W Programs'!R11)*INDEX('W Assumptions'!$D$17:$F$17,1,D137)</f>
        <v>5835.78947368421</v>
      </c>
      <c r="J137" s="81" t="n">
        <f aca="false">H137*'W Programs'!$M$11*'W Programs'!$O$11</f>
        <v>0</v>
      </c>
      <c r="K137" s="149" t="n">
        <f aca="false">'W Programs'!$N$11</f>
        <v>1</v>
      </c>
      <c r="L137" s="81" t="n">
        <f aca="false">H137*K137+H109*(1-K137)</f>
        <v>10610.5263157895</v>
      </c>
      <c r="M137" s="81" t="n">
        <f aca="false">L137*'W Programs'!$M$11*'W Programs'!$O$11</f>
        <v>0</v>
      </c>
      <c r="N137" s="81" t="n">
        <f aca="false">I137*'W Assumptions'!$D$55+I123*(1-'W Assumptions'!$D$55)</f>
        <v>5835.78947368421</v>
      </c>
      <c r="O137" s="81" t="n">
        <f aca="false">H137-I137-J137</f>
        <v>4774.73684210526</v>
      </c>
    </row>
    <row r="138" customFormat="false" ht="21" hidden="false" customHeight="true" outlineLevel="0" collapsed="false">
      <c r="C138" s="144" t="n">
        <f aca="false">46539</f>
        <v>46539</v>
      </c>
      <c r="D138" s="81" t="n">
        <f aca="false">1</f>
        <v>1</v>
      </c>
      <c r="E138" s="81" t="str">
        <f aca="false">'W Programs'!C12</f>
        <v>TLI</v>
      </c>
      <c r="F138" s="81" t="str">
        <f aca="false">'W Programs'!D12</f>
        <v>Licensing</v>
      </c>
      <c r="G138" s="145" t="n">
        <f aca="false">INDEX('W Programs'!$F$12:$H$12,1,D138)*INDEX('W Assumptions'!$D$7:$F$7,1,D138)*'W Assumptions'!D104/SUM('W Assumptions'!D$95:D$106)</f>
        <v>0.0368421052631579</v>
      </c>
      <c r="H138" s="81" t="n">
        <f aca="false">G138*INDEX('W Programs'!$I$12:$K$12,1,D138)*INDEX('W Assumptions'!$D$12:$F$12,1,D138)</f>
        <v>3684.21052631579</v>
      </c>
      <c r="I138" s="81" t="n">
        <f aca="false">H138*CHOOSE(D138,'W Programs'!L12,'W Programs'!Q12,'W Programs'!R12)*INDEX('W Assumptions'!$D$17:$F$17,1,D138)</f>
        <v>552.631578947368</v>
      </c>
      <c r="J138" s="81" t="n">
        <f aca="false">H138*'W Programs'!$M$12*'W Programs'!$O$12</f>
        <v>0</v>
      </c>
      <c r="K138" s="149" t="n">
        <f aca="false">'W Programs'!$N$12</f>
        <v>0.3</v>
      </c>
      <c r="L138" s="81" t="n">
        <f aca="false">H138*K138+H110*(1-K138)</f>
        <v>3684.21052631579</v>
      </c>
      <c r="M138" s="81" t="n">
        <f aca="false">L138*'W Programs'!$M$12*'W Programs'!$O$12</f>
        <v>0</v>
      </c>
      <c r="N138" s="81" t="n">
        <f aca="false">I138*'W Assumptions'!$D$55+I124*(1-'W Assumptions'!$D$55)</f>
        <v>552.631578947368</v>
      </c>
      <c r="O138" s="81" t="n">
        <f aca="false">H138-I138-J138</f>
        <v>3131.57894736842</v>
      </c>
    </row>
    <row r="139" customFormat="false" ht="21" hidden="false" customHeight="true" outlineLevel="0" collapsed="false">
      <c r="C139" s="144" t="n">
        <f aca="false">46539</f>
        <v>46539</v>
      </c>
      <c r="D139" s="81" t="n">
        <f aca="false">1</f>
        <v>1</v>
      </c>
      <c r="E139" s="81" t="str">
        <f aca="false">'W Programs'!C13</f>
        <v>WOO IP</v>
      </c>
      <c r="F139" s="81" t="str">
        <f aca="false">'W Programs'!D13</f>
        <v>Schools</v>
      </c>
      <c r="G139" s="145" t="n">
        <f aca="false">INDEX('W Programs'!$F$13:$H$13,1,D139)*INDEX('W Assumptions'!$D$7:$F$7,1,D139)*'W Assumptions'!D104/SUM('W Assumptions'!D$95:D$106)</f>
        <v>0.410526315789474</v>
      </c>
      <c r="H139" s="81" t="n">
        <f aca="false">G139*INDEX('W Programs'!$I$13:$K$13,1,D139)*INDEX('W Assumptions'!$D$12:$F$12,1,D139)</f>
        <v>57473.6842105263</v>
      </c>
      <c r="I139" s="81" t="n">
        <f aca="false">H139*CHOOSE(D139,'W Programs'!L13,'W Programs'!Q13,'W Programs'!R13)*INDEX('W Assumptions'!$D$17:$F$17,1,D139)</f>
        <v>24138.9473684211</v>
      </c>
      <c r="J139" s="81" t="n">
        <f aca="false">H139*'W Programs'!$M$13*'W Programs'!$O$13</f>
        <v>0</v>
      </c>
      <c r="K139" s="149" t="n">
        <f aca="false">'W Programs'!$N$13</f>
        <v>0.3</v>
      </c>
      <c r="L139" s="81" t="n">
        <f aca="false">H139*K139+H111*(1-K139)</f>
        <v>57473.6842105263</v>
      </c>
      <c r="M139" s="81" t="n">
        <f aca="false">L139*'W Programs'!$M$13*'W Programs'!$O$13</f>
        <v>0</v>
      </c>
      <c r="N139" s="81" t="n">
        <f aca="false">I139*'W Assumptions'!$D$55+I125*(1-'W Assumptions'!$D$55)</f>
        <v>24138.9473684211</v>
      </c>
      <c r="O139" s="81" t="n">
        <f aca="false">H139-I139-J139</f>
        <v>33334.7368421053</v>
      </c>
    </row>
    <row r="140" customFormat="false" ht="21" hidden="false" customHeight="true" outlineLevel="0" collapsed="false">
      <c r="C140" s="144" t="n">
        <f aca="false">46539</f>
        <v>46539</v>
      </c>
      <c r="D140" s="81" t="n">
        <f aca="false">1</f>
        <v>1</v>
      </c>
      <c r="E140" s="81" t="str">
        <f aca="false">'W Programs'!C14</f>
        <v>WOO IP</v>
      </c>
      <c r="F140" s="81" t="str">
        <f aca="false">'W Programs'!D14</f>
        <v>Activations</v>
      </c>
      <c r="G140" s="145" t="n">
        <f aca="false">INDEX('W Programs'!$F$14:$H$14,1,D140)*INDEX('W Assumptions'!$D$7:$F$7,1,D140)*'W Assumptions'!D104/SUM('W Assumptions'!D$95:D$106)</f>
        <v>0.547368421052632</v>
      </c>
      <c r="H140" s="81" t="n">
        <f aca="false">G140*INDEX('W Programs'!$I$14:$K$14,1,D140)*INDEX('W Assumptions'!$D$12:$F$12,1,D140)</f>
        <v>35578.9473684211</v>
      </c>
      <c r="I140" s="81" t="n">
        <f aca="false">H140*CHOOSE(D140,'W Programs'!L14,'W Programs'!Q14,'W Programs'!R14)*INDEX('W Assumptions'!$D$17:$F$17,1,D140)</f>
        <v>19568.4210526316</v>
      </c>
      <c r="J140" s="81" t="n">
        <f aca="false">H140*'W Programs'!$M$14*'W Programs'!$O$14</f>
        <v>0</v>
      </c>
      <c r="K140" s="149" t="n">
        <f aca="false">'W Programs'!$N$14</f>
        <v>0.3</v>
      </c>
      <c r="L140" s="81" t="n">
        <f aca="false">H140*K140+H112*(1-K140)</f>
        <v>35578.9473684211</v>
      </c>
      <c r="M140" s="81" t="n">
        <f aca="false">L140*'W Programs'!$M$14*'W Programs'!$O$14</f>
        <v>0</v>
      </c>
      <c r="N140" s="81" t="n">
        <f aca="false">I140*'W Assumptions'!$D$55+I126*(1-'W Assumptions'!$D$55)</f>
        <v>19568.4210526316</v>
      </c>
      <c r="O140" s="81" t="n">
        <f aca="false">H140-I140-J140</f>
        <v>16010.5263157895</v>
      </c>
    </row>
    <row r="141" customFormat="false" ht="21" hidden="false" customHeight="true" outlineLevel="0" collapsed="false">
      <c r="C141" s="144" t="n">
        <f aca="false">46539</f>
        <v>46539</v>
      </c>
      <c r="D141" s="81" t="n">
        <f aca="false">1</f>
        <v>1</v>
      </c>
      <c r="E141" s="81" t="str">
        <f aca="false">'W Programs'!C15</f>
        <v>WOO IP</v>
      </c>
      <c r="F141" s="81" t="str">
        <f aca="false">'W Programs'!D15</f>
        <v>Workshops</v>
      </c>
      <c r="G141" s="145" t="n">
        <f aca="false">INDEX('W Programs'!$F$15:$H$15,1,D141)*INDEX('W Assumptions'!$D$7:$F$7,1,D141)*'W Assumptions'!D104/SUM('W Assumptions'!D$95:D$106)</f>
        <v>6.15789473684211</v>
      </c>
      <c r="H141" s="81" t="n">
        <f aca="false">G141*INDEX('W Programs'!$I$15:$K$15,1,D141)*INDEX('W Assumptions'!$D$12:$F$12,1,D141)</f>
        <v>24631.5789473684</v>
      </c>
      <c r="I141" s="81" t="n">
        <f aca="false">H141*CHOOSE(D141,'W Programs'!L15,'W Programs'!Q15,'W Programs'!R15)*INDEX('W Assumptions'!$D$17:$F$17,1,D141)</f>
        <v>11084.2105263158</v>
      </c>
      <c r="J141" s="81" t="n">
        <f aca="false">H141*'W Programs'!$M$15*'W Programs'!$O$15</f>
        <v>0</v>
      </c>
      <c r="K141" s="149" t="n">
        <f aca="false">'W Programs'!$N$15</f>
        <v>0.7</v>
      </c>
      <c r="L141" s="81" t="n">
        <f aca="false">H141*K141+H113*(1-K141)</f>
        <v>24631.5789473684</v>
      </c>
      <c r="M141" s="81" t="n">
        <f aca="false">L141*'W Programs'!$M$15*'W Programs'!$O$15</f>
        <v>0</v>
      </c>
      <c r="N141" s="81" t="n">
        <f aca="false">I141*'W Assumptions'!$D$55+I127*(1-'W Assumptions'!$D$55)</f>
        <v>11084.2105263158</v>
      </c>
      <c r="O141" s="81" t="n">
        <f aca="false">H141-I141-J141</f>
        <v>13547.3684210526</v>
      </c>
    </row>
    <row r="142" customFormat="false" ht="21" hidden="false" customHeight="true" outlineLevel="0" collapsed="false">
      <c r="C142" s="144" t="n">
        <f aca="false">46539</f>
        <v>46539</v>
      </c>
      <c r="D142" s="81" t="n">
        <f aca="false">1</f>
        <v>1</v>
      </c>
      <c r="E142" s="81" t="str">
        <f aca="false">'W Programs'!C16</f>
        <v>WOO IP</v>
      </c>
      <c r="F142" s="81" t="str">
        <f aca="false">'W Programs'!D16</f>
        <v>Installations</v>
      </c>
      <c r="G142" s="145" t="n">
        <f aca="false">INDEX('W Programs'!$F$16:$H$16,1,D142)*INDEX('W Assumptions'!$D$7:$F$7,1,D142)*'W Assumptions'!D104/SUM('W Assumptions'!D$95:D$106)</f>
        <v>0.068421052631579</v>
      </c>
      <c r="H142" s="81" t="n">
        <f aca="false">G142*INDEX('W Programs'!$I$16:$K$16,1,D142)*INDEX('W Assumptions'!$D$12:$F$12,1,D142)</f>
        <v>17105.2631578947</v>
      </c>
      <c r="I142" s="81" t="n">
        <f aca="false">H142*CHOOSE(D142,'W Programs'!L16,'W Programs'!Q16,'W Programs'!R16)*INDEX('W Assumptions'!$D$17:$F$17,1,D142)</f>
        <v>11118.4210526316</v>
      </c>
      <c r="J142" s="81" t="n">
        <f aca="false">H142*'W Programs'!$M$16*'W Programs'!$O$16</f>
        <v>0</v>
      </c>
      <c r="K142" s="149" t="n">
        <f aca="false">'W Programs'!$N$16</f>
        <v>0.3</v>
      </c>
      <c r="L142" s="81" t="n">
        <f aca="false">H142*K142+H114*(1-K142)</f>
        <v>17105.2631578947</v>
      </c>
      <c r="M142" s="81" t="n">
        <f aca="false">L142*'W Programs'!$M$16*'W Programs'!$O$16</f>
        <v>0</v>
      </c>
      <c r="N142" s="81" t="n">
        <f aca="false">I142*'W Assumptions'!$D$55+I128*(1-'W Assumptions'!$D$55)</f>
        <v>11118.4210526316</v>
      </c>
      <c r="O142" s="81" t="n">
        <f aca="false">H142-I142-J142</f>
        <v>5986.84210526316</v>
      </c>
    </row>
    <row r="143" customFormat="false" ht="21" hidden="false" customHeight="true" outlineLevel="0" collapsed="false">
      <c r="C143" s="144" t="n">
        <f aca="false">46539</f>
        <v>46539</v>
      </c>
      <c r="D143" s="81" t="n">
        <f aca="false">1</f>
        <v>1</v>
      </c>
      <c r="E143" s="81" t="str">
        <f aca="false">'W Programs'!C17</f>
        <v>WOO IP</v>
      </c>
      <c r="F143" s="81" t="str">
        <f aca="false">'W Programs'!D17</f>
        <v>Digital</v>
      </c>
      <c r="G143" s="145" t="n">
        <f aca="false">INDEX('W Programs'!$F$17:$H$17,1,D143)*INDEX('W Assumptions'!$D$7:$F$7,1,D143)*'W Assumptions'!D104/SUM('W Assumptions'!D$95:D$106)</f>
        <v>27.3684210526316</v>
      </c>
      <c r="H143" s="81" t="n">
        <f aca="false">G143*INDEX('W Programs'!$I$17:$K$17,1,D143)*INDEX('W Assumptions'!$D$12:$F$12,1,D143)</f>
        <v>9578.94736842105</v>
      </c>
      <c r="I143" s="81" t="n">
        <f aca="false">H143*CHOOSE(D143,'W Programs'!L17,'W Programs'!Q17,'W Programs'!R17)*INDEX('W Assumptions'!$D$17:$F$17,1,D143)</f>
        <v>1915.78947368421</v>
      </c>
      <c r="J143" s="81" t="n">
        <f aca="false">H143*'W Programs'!$M$17*'W Programs'!$O$17</f>
        <v>0</v>
      </c>
      <c r="K143" s="149" t="n">
        <f aca="false">'W Programs'!$N$17</f>
        <v>1</v>
      </c>
      <c r="L143" s="81" t="n">
        <f aca="false">H143*K143+H115*(1-K143)</f>
        <v>9578.94736842105</v>
      </c>
      <c r="M143" s="81" t="n">
        <f aca="false">L143*'W Programs'!$M$17*'W Programs'!$O$17</f>
        <v>0</v>
      </c>
      <c r="N143" s="81" t="n">
        <f aca="false">I143*'W Assumptions'!$D$55+I129*(1-'W Assumptions'!$D$55)</f>
        <v>1915.78947368421</v>
      </c>
      <c r="O143" s="81" t="n">
        <f aca="false">H143-I143-J143</f>
        <v>7663.15789473684</v>
      </c>
    </row>
    <row r="144" customFormat="false" ht="21" hidden="false" customHeight="true" outlineLevel="0" collapsed="false">
      <c r="C144" s="144" t="n">
        <f aca="false">46539</f>
        <v>46539</v>
      </c>
      <c r="D144" s="81" t="n">
        <f aca="false">1</f>
        <v>1</v>
      </c>
      <c r="E144" s="81" t="str">
        <f aca="false">'W Programs'!C18</f>
        <v>WOO IP</v>
      </c>
      <c r="F144" s="81" t="str">
        <f aca="false">'W Programs'!D18</f>
        <v>Retail</v>
      </c>
      <c r="G144" s="145" t="n">
        <f aca="false">INDEX('W Programs'!$F$18:$H$18,1,D144)*INDEX('W Assumptions'!$D$7:$F$7,1,D144)*'W Assumptions'!D104/SUM('W Assumptions'!D$95:D$106)</f>
        <v>82.1052631578947</v>
      </c>
      <c r="H144" s="81" t="n">
        <f aca="false">G144*INDEX('W Programs'!$I$18:$K$18,1,D144)*INDEX('W Assumptions'!$D$12:$F$12,1,D144)</f>
        <v>19705.2631578947</v>
      </c>
      <c r="I144" s="81" t="n">
        <f aca="false">H144*CHOOSE(D144,'W Programs'!L18,'W Programs'!Q18,'W Programs'!R18)*INDEX('W Assumptions'!$D$17:$F$17,1,D144)</f>
        <v>10837.8947368421</v>
      </c>
      <c r="J144" s="81" t="n">
        <f aca="false">H144*'W Programs'!$M$18*'W Programs'!$O$18</f>
        <v>0</v>
      </c>
      <c r="K144" s="149" t="n">
        <f aca="false">'W Programs'!$N$18</f>
        <v>1</v>
      </c>
      <c r="L144" s="81" t="n">
        <f aca="false">H144*K144+H116*(1-K144)</f>
        <v>19705.2631578947</v>
      </c>
      <c r="M144" s="81" t="n">
        <f aca="false">L144*'W Programs'!$M$18*'W Programs'!$O$18</f>
        <v>0</v>
      </c>
      <c r="N144" s="81" t="n">
        <f aca="false">I144*'W Assumptions'!$D$55+I130*(1-'W Assumptions'!$D$55)</f>
        <v>10837.8947368421</v>
      </c>
      <c r="O144" s="81" t="n">
        <f aca="false">H144-I144-J144</f>
        <v>8867.36842105263</v>
      </c>
    </row>
    <row r="145" customFormat="false" ht="21" hidden="false" customHeight="true" outlineLevel="0" collapsed="false">
      <c r="C145" s="144" t="n">
        <f aca="false">46539</f>
        <v>46539</v>
      </c>
      <c r="D145" s="81" t="n">
        <f aca="false">1</f>
        <v>1</v>
      </c>
      <c r="E145" s="81" t="str">
        <f aca="false">'W Programs'!C19</f>
        <v>WOO IP</v>
      </c>
      <c r="F145" s="81" t="str">
        <f aca="false">'W Programs'!D19</f>
        <v>Licensing</v>
      </c>
      <c r="G145" s="145" t="n">
        <f aca="false">INDEX('W Programs'!$F$19:$H$19,1,D145)*INDEX('W Assumptions'!$D$7:$F$7,1,D145)*'W Assumptions'!D104/SUM('W Assumptions'!D$95:D$106)</f>
        <v>0.068421052631579</v>
      </c>
      <c r="H145" s="81" t="n">
        <f aca="false">G145*INDEX('W Programs'!$I$19:$K$19,1,D145)*INDEX('W Assumptions'!$D$12:$F$12,1,D145)</f>
        <v>6842.1052631579</v>
      </c>
      <c r="I145" s="81" t="n">
        <f aca="false">H145*CHOOSE(D145,'W Programs'!L19,'W Programs'!Q19,'W Programs'!R19)*INDEX('W Assumptions'!$D$17:$F$17,1,D145)</f>
        <v>1026.31578947368</v>
      </c>
      <c r="J145" s="81" t="n">
        <f aca="false">H145*'W Programs'!$M$19*'W Programs'!$O$19</f>
        <v>0</v>
      </c>
      <c r="K145" s="149" t="n">
        <f aca="false">'W Programs'!$N$19</f>
        <v>0.3</v>
      </c>
      <c r="L145" s="81" t="n">
        <f aca="false">H145*K145+H117*(1-K145)</f>
        <v>6842.10526315789</v>
      </c>
      <c r="M145" s="81" t="n">
        <f aca="false">L145*'W Programs'!$M$19*'W Programs'!$O$19</f>
        <v>0</v>
      </c>
      <c r="N145" s="81" t="n">
        <f aca="false">I145*'W Assumptions'!$D$55+I131*(1-'W Assumptions'!$D$55)</f>
        <v>1026.31578947368</v>
      </c>
      <c r="O145" s="81" t="n">
        <f aca="false">H145-I145-J145</f>
        <v>5815.78947368421</v>
      </c>
    </row>
    <row r="146" customFormat="false" ht="21" hidden="false" customHeight="true" outlineLevel="0" collapsed="false">
      <c r="C146" s="144" t="n">
        <f aca="false">46569</f>
        <v>46569</v>
      </c>
      <c r="D146" s="81" t="n">
        <f aca="false">1</f>
        <v>1</v>
      </c>
      <c r="E146" s="81" t="str">
        <f aca="false">'W Programs'!C6</f>
        <v>TLI</v>
      </c>
      <c r="F146" s="81" t="str">
        <f aca="false">'W Programs'!D6</f>
        <v>Schools</v>
      </c>
      <c r="G146" s="145" t="n">
        <f aca="false">INDEX('W Programs'!$F$6:$H$6,1,D146)*INDEX('W Assumptions'!$D$7:$F$7,1,D146)*'W Assumptions'!D105/SUM('W Assumptions'!D$95:D$106)</f>
        <v>0.221052631578947</v>
      </c>
      <c r="H146" s="81" t="n">
        <f aca="false">G146*INDEX('W Programs'!$I$6:$K$6,1,D146)*INDEX('W Assumptions'!$D$12:$F$12,1,D146)</f>
        <v>30947.3684210526</v>
      </c>
      <c r="I146" s="81" t="n">
        <f aca="false">H146*CHOOSE(D146,'W Programs'!L6,'W Programs'!Q6,'W Programs'!R6)*INDEX('W Assumptions'!$D$17:$F$17,1,D146)</f>
        <v>12997.8947368421</v>
      </c>
      <c r="J146" s="81" t="n">
        <f aca="false">H146*'W Programs'!$M$6*'W Programs'!$O$6</f>
        <v>0</v>
      </c>
      <c r="K146" s="149" t="n">
        <f aca="false">'W Programs'!$N$6</f>
        <v>0.3</v>
      </c>
      <c r="L146" s="81" t="n">
        <f aca="false">H146*K146+H118*(1-K146)</f>
        <v>30947.3684210526</v>
      </c>
      <c r="M146" s="81" t="n">
        <f aca="false">L146*'W Programs'!$M$6*'W Programs'!$O$6</f>
        <v>0</v>
      </c>
      <c r="N146" s="81" t="n">
        <f aca="false">I146*'W Assumptions'!$D$55+I132*(1-'W Assumptions'!$D$55)</f>
        <v>12997.8947368421</v>
      </c>
      <c r="O146" s="81" t="n">
        <f aca="false">H146-I146-J146</f>
        <v>17949.4736842105</v>
      </c>
    </row>
    <row r="147" customFormat="false" ht="21" hidden="false" customHeight="true" outlineLevel="0" collapsed="false">
      <c r="C147" s="144" t="n">
        <f aca="false">46569</f>
        <v>46569</v>
      </c>
      <c r="D147" s="81" t="n">
        <f aca="false">1</f>
        <v>1</v>
      </c>
      <c r="E147" s="81" t="str">
        <f aca="false">'W Programs'!C7</f>
        <v>TLI</v>
      </c>
      <c r="F147" s="81" t="str">
        <f aca="false">'W Programs'!D7</f>
        <v>Activations</v>
      </c>
      <c r="G147" s="145" t="n">
        <f aca="false">INDEX('W Programs'!$F$7:$H$7,1,D147)*INDEX('W Assumptions'!$D$7:$F$7,1,D147)*'W Assumptions'!D105/SUM('W Assumptions'!D$95:D$106)</f>
        <v>0.294736842105263</v>
      </c>
      <c r="H147" s="81" t="n">
        <f aca="false">G147*INDEX('W Programs'!$I$7:$K$7,1,D147)*INDEX('W Assumptions'!$D$12:$F$12,1,D147)</f>
        <v>19157.8947368421</v>
      </c>
      <c r="I147" s="81" t="n">
        <f aca="false">H147*CHOOSE(D147,'W Programs'!L7,'W Programs'!Q7,'W Programs'!R7)*INDEX('W Assumptions'!$D$17:$F$17,1,D147)</f>
        <v>10536.8421052632</v>
      </c>
      <c r="J147" s="81" t="n">
        <f aca="false">H147*'W Programs'!$M$7*'W Programs'!$O$7</f>
        <v>0</v>
      </c>
      <c r="K147" s="149" t="n">
        <f aca="false">'W Programs'!$N$7</f>
        <v>0.3</v>
      </c>
      <c r="L147" s="81" t="n">
        <f aca="false">H147*K147+H119*(1-K147)</f>
        <v>19157.8947368421</v>
      </c>
      <c r="M147" s="81" t="n">
        <f aca="false">L147*'W Programs'!$M$7*'W Programs'!$O$7</f>
        <v>0</v>
      </c>
      <c r="N147" s="81" t="n">
        <f aca="false">I147*'W Assumptions'!$D$55+I133*(1-'W Assumptions'!$D$55)</f>
        <v>10536.8421052632</v>
      </c>
      <c r="O147" s="81" t="n">
        <f aca="false">H147-I147-J147</f>
        <v>8621.05263157895</v>
      </c>
    </row>
    <row r="148" customFormat="false" ht="21" hidden="false" customHeight="true" outlineLevel="0" collapsed="false">
      <c r="C148" s="144" t="n">
        <f aca="false">46569</f>
        <v>46569</v>
      </c>
      <c r="D148" s="81" t="n">
        <f aca="false">1</f>
        <v>1</v>
      </c>
      <c r="E148" s="81" t="str">
        <f aca="false">'W Programs'!C8</f>
        <v>TLI</v>
      </c>
      <c r="F148" s="81" t="str">
        <f aca="false">'W Programs'!D8</f>
        <v>Workshops</v>
      </c>
      <c r="G148" s="145" t="n">
        <f aca="false">INDEX('W Programs'!$F$8:$H$8,1,D148)*INDEX('W Assumptions'!$D$7:$F$7,1,D148)*'W Assumptions'!D105/SUM('W Assumptions'!D$95:D$106)</f>
        <v>3.31578947368421</v>
      </c>
      <c r="H148" s="81" t="n">
        <f aca="false">G148*INDEX('W Programs'!$I$8:$K$8,1,D148)*INDEX('W Assumptions'!$D$12:$F$12,1,D148)</f>
        <v>13263.1578947368</v>
      </c>
      <c r="I148" s="81" t="n">
        <f aca="false">H148*CHOOSE(D148,'W Programs'!L8,'W Programs'!Q8,'W Programs'!R8)*INDEX('W Assumptions'!$D$17:$F$17,1,D148)</f>
        <v>5968.42105263158</v>
      </c>
      <c r="J148" s="81" t="n">
        <f aca="false">H148*'W Programs'!$M$8*'W Programs'!$O$8</f>
        <v>0</v>
      </c>
      <c r="K148" s="149" t="n">
        <f aca="false">'W Programs'!$N$8</f>
        <v>0.7</v>
      </c>
      <c r="L148" s="81" t="n">
        <f aca="false">H148*K148+H120*(1-K148)</f>
        <v>13263.1578947368</v>
      </c>
      <c r="M148" s="81" t="n">
        <f aca="false">L148*'W Programs'!$M$8*'W Programs'!$O$8</f>
        <v>0</v>
      </c>
      <c r="N148" s="81" t="n">
        <f aca="false">I148*'W Assumptions'!$D$55+I134*(1-'W Assumptions'!$D$55)</f>
        <v>5968.42105263158</v>
      </c>
      <c r="O148" s="81" t="n">
        <f aca="false">H148-I148-J148</f>
        <v>7294.73684210526</v>
      </c>
    </row>
    <row r="149" customFormat="false" ht="21" hidden="false" customHeight="true" outlineLevel="0" collapsed="false">
      <c r="C149" s="144" t="n">
        <f aca="false">46569</f>
        <v>46569</v>
      </c>
      <c r="D149" s="81" t="n">
        <f aca="false">1</f>
        <v>1</v>
      </c>
      <c r="E149" s="81" t="str">
        <f aca="false">'W Programs'!C9</f>
        <v>TLI</v>
      </c>
      <c r="F149" s="81" t="str">
        <f aca="false">'W Programs'!D9</f>
        <v>Installations</v>
      </c>
      <c r="G149" s="145" t="n">
        <f aca="false">INDEX('W Programs'!$F$9:$H$9,1,D149)*INDEX('W Assumptions'!$D$7:$F$7,1,D149)*'W Assumptions'!D105/SUM('W Assumptions'!D$95:D$106)</f>
        <v>0.0368421052631579</v>
      </c>
      <c r="H149" s="81" t="n">
        <f aca="false">G149*INDEX('W Programs'!$I$9:$K$9,1,D149)*INDEX('W Assumptions'!$D$12:$F$12,1,D149)</f>
        <v>9210.52631578947</v>
      </c>
      <c r="I149" s="81" t="n">
        <f aca="false">H149*CHOOSE(D149,'W Programs'!L9,'W Programs'!Q9,'W Programs'!R9)*INDEX('W Assumptions'!$D$17:$F$17,1,D149)</f>
        <v>5986.84210526316</v>
      </c>
      <c r="J149" s="81" t="n">
        <f aca="false">H149*'W Programs'!$M$9*'W Programs'!$O$9</f>
        <v>0</v>
      </c>
      <c r="K149" s="149" t="n">
        <f aca="false">'W Programs'!$N$9</f>
        <v>0.3</v>
      </c>
      <c r="L149" s="81" t="n">
        <f aca="false">H149*K149+H121*(1-K149)</f>
        <v>9210.52631578947</v>
      </c>
      <c r="M149" s="81" t="n">
        <f aca="false">L149*'W Programs'!$M$9*'W Programs'!$O$9</f>
        <v>0</v>
      </c>
      <c r="N149" s="81" t="n">
        <f aca="false">I149*'W Assumptions'!$D$55+I135*(1-'W Assumptions'!$D$55)</f>
        <v>5986.84210526316</v>
      </c>
      <c r="O149" s="81" t="n">
        <f aca="false">H149-I149-J149</f>
        <v>3223.68421052632</v>
      </c>
    </row>
    <row r="150" customFormat="false" ht="21" hidden="false" customHeight="true" outlineLevel="0" collapsed="false">
      <c r="C150" s="144" t="n">
        <f aca="false">46569</f>
        <v>46569</v>
      </c>
      <c r="D150" s="81" t="n">
        <f aca="false">1</f>
        <v>1</v>
      </c>
      <c r="E150" s="81" t="str">
        <f aca="false">'W Programs'!C10</f>
        <v>TLI</v>
      </c>
      <c r="F150" s="81" t="str">
        <f aca="false">'W Programs'!D10</f>
        <v>Digital</v>
      </c>
      <c r="G150" s="145" t="n">
        <f aca="false">INDEX('W Programs'!$F$10:$H$10,1,D150)*INDEX('W Assumptions'!$D$7:$F$7,1,D150)*'W Assumptions'!D105/SUM('W Assumptions'!D$95:D$106)</f>
        <v>14.7368421052632</v>
      </c>
      <c r="H150" s="81" t="n">
        <f aca="false">G150*INDEX('W Programs'!$I$10:$K$10,1,D150)*INDEX('W Assumptions'!$D$12:$F$12,1,D150)</f>
        <v>5157.89473684211</v>
      </c>
      <c r="I150" s="81" t="n">
        <f aca="false">H150*CHOOSE(D150,'W Programs'!L10,'W Programs'!Q10,'W Programs'!R10)*INDEX('W Assumptions'!$D$17:$F$17,1,D150)</f>
        <v>1031.57894736842</v>
      </c>
      <c r="J150" s="81" t="n">
        <f aca="false">H150*'W Programs'!$M$10*'W Programs'!$O$10</f>
        <v>0</v>
      </c>
      <c r="K150" s="149" t="n">
        <f aca="false">'W Programs'!$N$10</f>
        <v>1</v>
      </c>
      <c r="L150" s="81" t="n">
        <f aca="false">H150*K150+H122*(1-K150)</f>
        <v>5157.89473684211</v>
      </c>
      <c r="M150" s="81" t="n">
        <f aca="false">L150*'W Programs'!$M$10*'W Programs'!$O$10</f>
        <v>0</v>
      </c>
      <c r="N150" s="81" t="n">
        <f aca="false">I150*'W Assumptions'!$D$55+I136*(1-'W Assumptions'!$D$55)</f>
        <v>1031.57894736842</v>
      </c>
      <c r="O150" s="81" t="n">
        <f aca="false">H150-I150-J150</f>
        <v>4126.31578947368</v>
      </c>
    </row>
    <row r="151" customFormat="false" ht="21" hidden="false" customHeight="true" outlineLevel="0" collapsed="false">
      <c r="C151" s="144" t="n">
        <f aca="false">46569</f>
        <v>46569</v>
      </c>
      <c r="D151" s="81" t="n">
        <f aca="false">1</f>
        <v>1</v>
      </c>
      <c r="E151" s="81" t="str">
        <f aca="false">'W Programs'!C11</f>
        <v>TLI</v>
      </c>
      <c r="F151" s="81" t="str">
        <f aca="false">'W Programs'!D11</f>
        <v>Retail</v>
      </c>
      <c r="G151" s="145" t="n">
        <f aca="false">INDEX('W Programs'!$F$11:$H$11,1,D151)*INDEX('W Assumptions'!$D$7:$F$7,1,D151)*'W Assumptions'!D105/SUM('W Assumptions'!D$95:D$106)</f>
        <v>44.2105263157895</v>
      </c>
      <c r="H151" s="81" t="n">
        <f aca="false">G151*INDEX('W Programs'!$I$11:$K$11,1,D151)*INDEX('W Assumptions'!$D$12:$F$12,1,D151)</f>
        <v>10610.5263157895</v>
      </c>
      <c r="I151" s="81" t="n">
        <f aca="false">H151*CHOOSE(D151,'W Programs'!L11,'W Programs'!Q11,'W Programs'!R11)*INDEX('W Assumptions'!$D$17:$F$17,1,D151)</f>
        <v>5835.78947368421</v>
      </c>
      <c r="J151" s="81" t="n">
        <f aca="false">H151*'W Programs'!$M$11*'W Programs'!$O$11</f>
        <v>0</v>
      </c>
      <c r="K151" s="149" t="n">
        <f aca="false">'W Programs'!$N$11</f>
        <v>1</v>
      </c>
      <c r="L151" s="81" t="n">
        <f aca="false">H151*K151+H123*(1-K151)</f>
        <v>10610.5263157895</v>
      </c>
      <c r="M151" s="81" t="n">
        <f aca="false">L151*'W Programs'!$M$11*'W Programs'!$O$11</f>
        <v>0</v>
      </c>
      <c r="N151" s="81" t="n">
        <f aca="false">I151*'W Assumptions'!$D$55+I137*(1-'W Assumptions'!$D$55)</f>
        <v>5835.78947368421</v>
      </c>
      <c r="O151" s="81" t="n">
        <f aca="false">H151-I151-J151</f>
        <v>4774.73684210526</v>
      </c>
    </row>
    <row r="152" customFormat="false" ht="21" hidden="false" customHeight="true" outlineLevel="0" collapsed="false">
      <c r="C152" s="144" t="n">
        <f aca="false">46569</f>
        <v>46569</v>
      </c>
      <c r="D152" s="81" t="n">
        <f aca="false">1</f>
        <v>1</v>
      </c>
      <c r="E152" s="81" t="str">
        <f aca="false">'W Programs'!C12</f>
        <v>TLI</v>
      </c>
      <c r="F152" s="81" t="str">
        <f aca="false">'W Programs'!D12</f>
        <v>Licensing</v>
      </c>
      <c r="G152" s="145" t="n">
        <f aca="false">INDEX('W Programs'!$F$12:$H$12,1,D152)*INDEX('W Assumptions'!$D$7:$F$7,1,D152)*'W Assumptions'!D105/SUM('W Assumptions'!D$95:D$106)</f>
        <v>0.0368421052631579</v>
      </c>
      <c r="H152" s="81" t="n">
        <f aca="false">G152*INDEX('W Programs'!$I$12:$K$12,1,D152)*INDEX('W Assumptions'!$D$12:$F$12,1,D152)</f>
        <v>3684.21052631579</v>
      </c>
      <c r="I152" s="81" t="n">
        <f aca="false">H152*CHOOSE(D152,'W Programs'!L12,'W Programs'!Q12,'W Programs'!R12)*INDEX('W Assumptions'!$D$17:$F$17,1,D152)</f>
        <v>552.631578947368</v>
      </c>
      <c r="J152" s="81" t="n">
        <f aca="false">H152*'W Programs'!$M$12*'W Programs'!$O$12</f>
        <v>0</v>
      </c>
      <c r="K152" s="149" t="n">
        <f aca="false">'W Programs'!$N$12</f>
        <v>0.3</v>
      </c>
      <c r="L152" s="81" t="n">
        <f aca="false">H152*K152+H124*(1-K152)</f>
        <v>3684.21052631579</v>
      </c>
      <c r="M152" s="81" t="n">
        <f aca="false">L152*'W Programs'!$M$12*'W Programs'!$O$12</f>
        <v>0</v>
      </c>
      <c r="N152" s="81" t="n">
        <f aca="false">I152*'W Assumptions'!$D$55+I138*(1-'W Assumptions'!$D$55)</f>
        <v>552.631578947368</v>
      </c>
      <c r="O152" s="81" t="n">
        <f aca="false">H152-I152-J152</f>
        <v>3131.57894736842</v>
      </c>
    </row>
    <row r="153" customFormat="false" ht="21" hidden="false" customHeight="true" outlineLevel="0" collapsed="false">
      <c r="C153" s="144" t="n">
        <f aca="false">46569</f>
        <v>46569</v>
      </c>
      <c r="D153" s="81" t="n">
        <f aca="false">1</f>
        <v>1</v>
      </c>
      <c r="E153" s="81" t="str">
        <f aca="false">'W Programs'!C13</f>
        <v>WOO IP</v>
      </c>
      <c r="F153" s="81" t="str">
        <f aca="false">'W Programs'!D13</f>
        <v>Schools</v>
      </c>
      <c r="G153" s="145" t="n">
        <f aca="false">INDEX('W Programs'!$F$13:$H$13,1,D153)*INDEX('W Assumptions'!$D$7:$F$7,1,D153)*'W Assumptions'!D105/SUM('W Assumptions'!D$95:D$106)</f>
        <v>0.410526315789474</v>
      </c>
      <c r="H153" s="81" t="n">
        <f aca="false">G153*INDEX('W Programs'!$I$13:$K$13,1,D153)*INDEX('W Assumptions'!$D$12:$F$12,1,D153)</f>
        <v>57473.6842105263</v>
      </c>
      <c r="I153" s="81" t="n">
        <f aca="false">H153*CHOOSE(D153,'W Programs'!L13,'W Programs'!Q13,'W Programs'!R13)*INDEX('W Assumptions'!$D$17:$F$17,1,D153)</f>
        <v>24138.9473684211</v>
      </c>
      <c r="J153" s="81" t="n">
        <f aca="false">H153*'W Programs'!$M$13*'W Programs'!$O$13</f>
        <v>0</v>
      </c>
      <c r="K153" s="149" t="n">
        <f aca="false">'W Programs'!$N$13</f>
        <v>0.3</v>
      </c>
      <c r="L153" s="81" t="n">
        <f aca="false">H153*K153+H125*(1-K153)</f>
        <v>57473.6842105263</v>
      </c>
      <c r="M153" s="81" t="n">
        <f aca="false">L153*'W Programs'!$M$13*'W Programs'!$O$13</f>
        <v>0</v>
      </c>
      <c r="N153" s="81" t="n">
        <f aca="false">I153*'W Assumptions'!$D$55+I139*(1-'W Assumptions'!$D$55)</f>
        <v>24138.9473684211</v>
      </c>
      <c r="O153" s="81" t="n">
        <f aca="false">H153-I153-J153</f>
        <v>33334.7368421053</v>
      </c>
    </row>
    <row r="154" customFormat="false" ht="21" hidden="false" customHeight="true" outlineLevel="0" collapsed="false">
      <c r="C154" s="144" t="n">
        <f aca="false">46569</f>
        <v>46569</v>
      </c>
      <c r="D154" s="81" t="n">
        <f aca="false">1</f>
        <v>1</v>
      </c>
      <c r="E154" s="81" t="str">
        <f aca="false">'W Programs'!C14</f>
        <v>WOO IP</v>
      </c>
      <c r="F154" s="81" t="str">
        <f aca="false">'W Programs'!D14</f>
        <v>Activations</v>
      </c>
      <c r="G154" s="145" t="n">
        <f aca="false">INDEX('W Programs'!$F$14:$H$14,1,D154)*INDEX('W Assumptions'!$D$7:$F$7,1,D154)*'W Assumptions'!D105/SUM('W Assumptions'!D$95:D$106)</f>
        <v>0.547368421052632</v>
      </c>
      <c r="H154" s="81" t="n">
        <f aca="false">G154*INDEX('W Programs'!$I$14:$K$14,1,D154)*INDEX('W Assumptions'!$D$12:$F$12,1,D154)</f>
        <v>35578.9473684211</v>
      </c>
      <c r="I154" s="81" t="n">
        <f aca="false">H154*CHOOSE(D154,'W Programs'!L14,'W Programs'!Q14,'W Programs'!R14)*INDEX('W Assumptions'!$D$17:$F$17,1,D154)</f>
        <v>19568.4210526316</v>
      </c>
      <c r="J154" s="81" t="n">
        <f aca="false">H154*'W Programs'!$M$14*'W Programs'!$O$14</f>
        <v>0</v>
      </c>
      <c r="K154" s="149" t="n">
        <f aca="false">'W Programs'!$N$14</f>
        <v>0.3</v>
      </c>
      <c r="L154" s="81" t="n">
        <f aca="false">H154*K154+H126*(1-K154)</f>
        <v>35578.9473684211</v>
      </c>
      <c r="M154" s="81" t="n">
        <f aca="false">L154*'W Programs'!$M$14*'W Programs'!$O$14</f>
        <v>0</v>
      </c>
      <c r="N154" s="81" t="n">
        <f aca="false">I154*'W Assumptions'!$D$55+I140*(1-'W Assumptions'!$D$55)</f>
        <v>19568.4210526316</v>
      </c>
      <c r="O154" s="81" t="n">
        <f aca="false">H154-I154-J154</f>
        <v>16010.5263157895</v>
      </c>
    </row>
    <row r="155" customFormat="false" ht="21" hidden="false" customHeight="true" outlineLevel="0" collapsed="false">
      <c r="C155" s="144" t="n">
        <f aca="false">46569</f>
        <v>46569</v>
      </c>
      <c r="D155" s="81" t="n">
        <f aca="false">1</f>
        <v>1</v>
      </c>
      <c r="E155" s="81" t="str">
        <f aca="false">'W Programs'!C15</f>
        <v>WOO IP</v>
      </c>
      <c r="F155" s="81" t="str">
        <f aca="false">'W Programs'!D15</f>
        <v>Workshops</v>
      </c>
      <c r="G155" s="145" t="n">
        <f aca="false">INDEX('W Programs'!$F$15:$H$15,1,D155)*INDEX('W Assumptions'!$D$7:$F$7,1,D155)*'W Assumptions'!D105/SUM('W Assumptions'!D$95:D$106)</f>
        <v>6.15789473684211</v>
      </c>
      <c r="H155" s="81" t="n">
        <f aca="false">G155*INDEX('W Programs'!$I$15:$K$15,1,D155)*INDEX('W Assumptions'!$D$12:$F$12,1,D155)</f>
        <v>24631.5789473684</v>
      </c>
      <c r="I155" s="81" t="n">
        <f aca="false">H155*CHOOSE(D155,'W Programs'!L15,'W Programs'!Q15,'W Programs'!R15)*INDEX('W Assumptions'!$D$17:$F$17,1,D155)</f>
        <v>11084.2105263158</v>
      </c>
      <c r="J155" s="81" t="n">
        <f aca="false">H155*'W Programs'!$M$15*'W Programs'!$O$15</f>
        <v>0</v>
      </c>
      <c r="K155" s="149" t="n">
        <f aca="false">'W Programs'!$N$15</f>
        <v>0.7</v>
      </c>
      <c r="L155" s="81" t="n">
        <f aca="false">H155*K155+H127*(1-K155)</f>
        <v>24631.5789473684</v>
      </c>
      <c r="M155" s="81" t="n">
        <f aca="false">L155*'W Programs'!$M$15*'W Programs'!$O$15</f>
        <v>0</v>
      </c>
      <c r="N155" s="81" t="n">
        <f aca="false">I155*'W Assumptions'!$D$55+I141*(1-'W Assumptions'!$D$55)</f>
        <v>11084.2105263158</v>
      </c>
      <c r="O155" s="81" t="n">
        <f aca="false">H155-I155-J155</f>
        <v>13547.3684210526</v>
      </c>
    </row>
    <row r="156" customFormat="false" ht="21" hidden="false" customHeight="true" outlineLevel="0" collapsed="false">
      <c r="C156" s="144" t="n">
        <f aca="false">46569</f>
        <v>46569</v>
      </c>
      <c r="D156" s="81" t="n">
        <f aca="false">1</f>
        <v>1</v>
      </c>
      <c r="E156" s="81" t="str">
        <f aca="false">'W Programs'!C16</f>
        <v>WOO IP</v>
      </c>
      <c r="F156" s="81" t="str">
        <f aca="false">'W Programs'!D16</f>
        <v>Installations</v>
      </c>
      <c r="G156" s="145" t="n">
        <f aca="false">INDEX('W Programs'!$F$16:$H$16,1,D156)*INDEX('W Assumptions'!$D$7:$F$7,1,D156)*'W Assumptions'!D105/SUM('W Assumptions'!D$95:D$106)</f>
        <v>0.068421052631579</v>
      </c>
      <c r="H156" s="81" t="n">
        <f aca="false">G156*INDEX('W Programs'!$I$16:$K$16,1,D156)*INDEX('W Assumptions'!$D$12:$F$12,1,D156)</f>
        <v>17105.2631578947</v>
      </c>
      <c r="I156" s="81" t="n">
        <f aca="false">H156*CHOOSE(D156,'W Programs'!L16,'W Programs'!Q16,'W Programs'!R16)*INDEX('W Assumptions'!$D$17:$F$17,1,D156)</f>
        <v>11118.4210526316</v>
      </c>
      <c r="J156" s="81" t="n">
        <f aca="false">H156*'W Programs'!$M$16*'W Programs'!$O$16</f>
        <v>0</v>
      </c>
      <c r="K156" s="149" t="n">
        <f aca="false">'W Programs'!$N$16</f>
        <v>0.3</v>
      </c>
      <c r="L156" s="81" t="n">
        <f aca="false">H156*K156+H128*(1-K156)</f>
        <v>17105.2631578947</v>
      </c>
      <c r="M156" s="81" t="n">
        <f aca="false">L156*'W Programs'!$M$16*'W Programs'!$O$16</f>
        <v>0</v>
      </c>
      <c r="N156" s="81" t="n">
        <f aca="false">I156*'W Assumptions'!$D$55+I142*(1-'W Assumptions'!$D$55)</f>
        <v>11118.4210526316</v>
      </c>
      <c r="O156" s="81" t="n">
        <f aca="false">H156-I156-J156</f>
        <v>5986.84210526316</v>
      </c>
    </row>
    <row r="157" customFormat="false" ht="21" hidden="false" customHeight="true" outlineLevel="0" collapsed="false">
      <c r="C157" s="144" t="n">
        <f aca="false">46569</f>
        <v>46569</v>
      </c>
      <c r="D157" s="81" t="n">
        <f aca="false">1</f>
        <v>1</v>
      </c>
      <c r="E157" s="81" t="str">
        <f aca="false">'W Programs'!C17</f>
        <v>WOO IP</v>
      </c>
      <c r="F157" s="81" t="str">
        <f aca="false">'W Programs'!D17</f>
        <v>Digital</v>
      </c>
      <c r="G157" s="145" t="n">
        <f aca="false">INDEX('W Programs'!$F$17:$H$17,1,D157)*INDEX('W Assumptions'!$D$7:$F$7,1,D157)*'W Assumptions'!D105/SUM('W Assumptions'!D$95:D$106)</f>
        <v>27.3684210526316</v>
      </c>
      <c r="H157" s="81" t="n">
        <f aca="false">G157*INDEX('W Programs'!$I$17:$K$17,1,D157)*INDEX('W Assumptions'!$D$12:$F$12,1,D157)</f>
        <v>9578.94736842105</v>
      </c>
      <c r="I157" s="81" t="n">
        <f aca="false">H157*CHOOSE(D157,'W Programs'!L17,'W Programs'!Q17,'W Programs'!R17)*INDEX('W Assumptions'!$D$17:$F$17,1,D157)</f>
        <v>1915.78947368421</v>
      </c>
      <c r="J157" s="81" t="n">
        <f aca="false">H157*'W Programs'!$M$17*'W Programs'!$O$17</f>
        <v>0</v>
      </c>
      <c r="K157" s="149" t="n">
        <f aca="false">'W Programs'!$N$17</f>
        <v>1</v>
      </c>
      <c r="L157" s="81" t="n">
        <f aca="false">H157*K157+H129*(1-K157)</f>
        <v>9578.94736842105</v>
      </c>
      <c r="M157" s="81" t="n">
        <f aca="false">L157*'W Programs'!$M$17*'W Programs'!$O$17</f>
        <v>0</v>
      </c>
      <c r="N157" s="81" t="n">
        <f aca="false">I157*'W Assumptions'!$D$55+I143*(1-'W Assumptions'!$D$55)</f>
        <v>1915.78947368421</v>
      </c>
      <c r="O157" s="81" t="n">
        <f aca="false">H157-I157-J157</f>
        <v>7663.15789473684</v>
      </c>
    </row>
    <row r="158" customFormat="false" ht="21" hidden="false" customHeight="true" outlineLevel="0" collapsed="false">
      <c r="C158" s="144" t="n">
        <f aca="false">46569</f>
        <v>46569</v>
      </c>
      <c r="D158" s="81" t="n">
        <f aca="false">1</f>
        <v>1</v>
      </c>
      <c r="E158" s="81" t="str">
        <f aca="false">'W Programs'!C18</f>
        <v>WOO IP</v>
      </c>
      <c r="F158" s="81" t="str">
        <f aca="false">'W Programs'!D18</f>
        <v>Retail</v>
      </c>
      <c r="G158" s="145" t="n">
        <f aca="false">INDEX('W Programs'!$F$18:$H$18,1,D158)*INDEX('W Assumptions'!$D$7:$F$7,1,D158)*'W Assumptions'!D105/SUM('W Assumptions'!D$95:D$106)</f>
        <v>82.1052631578947</v>
      </c>
      <c r="H158" s="81" t="n">
        <f aca="false">G158*INDEX('W Programs'!$I$18:$K$18,1,D158)*INDEX('W Assumptions'!$D$12:$F$12,1,D158)</f>
        <v>19705.2631578947</v>
      </c>
      <c r="I158" s="81" t="n">
        <f aca="false">H158*CHOOSE(D158,'W Programs'!L18,'W Programs'!Q18,'W Programs'!R18)*INDEX('W Assumptions'!$D$17:$F$17,1,D158)</f>
        <v>10837.8947368421</v>
      </c>
      <c r="J158" s="81" t="n">
        <f aca="false">H158*'W Programs'!$M$18*'W Programs'!$O$18</f>
        <v>0</v>
      </c>
      <c r="K158" s="149" t="n">
        <f aca="false">'W Programs'!$N$18</f>
        <v>1</v>
      </c>
      <c r="L158" s="81" t="n">
        <f aca="false">H158*K158+H130*(1-K158)</f>
        <v>19705.2631578947</v>
      </c>
      <c r="M158" s="81" t="n">
        <f aca="false">L158*'W Programs'!$M$18*'W Programs'!$O$18</f>
        <v>0</v>
      </c>
      <c r="N158" s="81" t="n">
        <f aca="false">I158*'W Assumptions'!$D$55+I144*(1-'W Assumptions'!$D$55)</f>
        <v>10837.8947368421</v>
      </c>
      <c r="O158" s="81" t="n">
        <f aca="false">H158-I158-J158</f>
        <v>8867.36842105263</v>
      </c>
    </row>
    <row r="159" customFormat="false" ht="21" hidden="false" customHeight="true" outlineLevel="0" collapsed="false">
      <c r="C159" s="144" t="n">
        <f aca="false">46569</f>
        <v>46569</v>
      </c>
      <c r="D159" s="81" t="n">
        <f aca="false">1</f>
        <v>1</v>
      </c>
      <c r="E159" s="81" t="str">
        <f aca="false">'W Programs'!C19</f>
        <v>WOO IP</v>
      </c>
      <c r="F159" s="81" t="str">
        <f aca="false">'W Programs'!D19</f>
        <v>Licensing</v>
      </c>
      <c r="G159" s="145" t="n">
        <f aca="false">INDEX('W Programs'!$F$19:$H$19,1,D159)*INDEX('W Assumptions'!$D$7:$F$7,1,D159)*'W Assumptions'!D105/SUM('W Assumptions'!D$95:D$106)</f>
        <v>0.068421052631579</v>
      </c>
      <c r="H159" s="81" t="n">
        <f aca="false">G159*INDEX('W Programs'!$I$19:$K$19,1,D159)*INDEX('W Assumptions'!$D$12:$F$12,1,D159)</f>
        <v>6842.1052631579</v>
      </c>
      <c r="I159" s="81" t="n">
        <f aca="false">H159*CHOOSE(D159,'W Programs'!L19,'W Programs'!Q19,'W Programs'!R19)*INDEX('W Assumptions'!$D$17:$F$17,1,D159)</f>
        <v>1026.31578947368</v>
      </c>
      <c r="J159" s="81" t="n">
        <f aca="false">H159*'W Programs'!$M$19*'W Programs'!$O$19</f>
        <v>0</v>
      </c>
      <c r="K159" s="149" t="n">
        <f aca="false">'W Programs'!$N$19</f>
        <v>0.3</v>
      </c>
      <c r="L159" s="81" t="n">
        <f aca="false">H159*K159+H131*(1-K159)</f>
        <v>6842.10526315789</v>
      </c>
      <c r="M159" s="81" t="n">
        <f aca="false">L159*'W Programs'!$M$19*'W Programs'!$O$19</f>
        <v>0</v>
      </c>
      <c r="N159" s="81" t="n">
        <f aca="false">I159*'W Assumptions'!$D$55+I145*(1-'W Assumptions'!$D$55)</f>
        <v>1026.31578947368</v>
      </c>
      <c r="O159" s="81" t="n">
        <f aca="false">H159-I159-J159</f>
        <v>5815.78947368421</v>
      </c>
    </row>
    <row r="160" customFormat="false" ht="21" hidden="false" customHeight="true" outlineLevel="0" collapsed="false">
      <c r="C160" s="144" t="n">
        <f aca="false">46600</f>
        <v>46600</v>
      </c>
      <c r="D160" s="81" t="n">
        <f aca="false">1</f>
        <v>1</v>
      </c>
      <c r="E160" s="81" t="str">
        <f aca="false">'W Programs'!C6</f>
        <v>TLI</v>
      </c>
      <c r="F160" s="81" t="str">
        <f aca="false">'W Programs'!D6</f>
        <v>Schools</v>
      </c>
      <c r="G160" s="145" t="n">
        <f aca="false">INDEX('W Programs'!$F$6:$H$6,1,D160)*INDEX('W Assumptions'!$D$7:$F$7,1,D160)*'W Assumptions'!D106/SUM('W Assumptions'!D$95:D$106)</f>
        <v>0.221052631578947</v>
      </c>
      <c r="H160" s="81" t="n">
        <f aca="false">G160*INDEX('W Programs'!$I$6:$K$6,1,D160)*INDEX('W Assumptions'!$D$12:$F$12,1,D160)</f>
        <v>30947.3684210526</v>
      </c>
      <c r="I160" s="81" t="n">
        <f aca="false">H160*CHOOSE(D160,'W Programs'!L6,'W Programs'!Q6,'W Programs'!R6)*INDEX('W Assumptions'!$D$17:$F$17,1,D160)</f>
        <v>12997.8947368421</v>
      </c>
      <c r="J160" s="81" t="n">
        <f aca="false">H160*'W Programs'!$M$6*'W Programs'!$O$6</f>
        <v>0</v>
      </c>
      <c r="K160" s="149" t="n">
        <f aca="false">'W Programs'!$N$6</f>
        <v>0.3</v>
      </c>
      <c r="L160" s="81" t="n">
        <f aca="false">H160*K160+H132*(1-K160)</f>
        <v>30947.3684210526</v>
      </c>
      <c r="M160" s="81" t="n">
        <f aca="false">L160*'W Programs'!$M$6*'W Programs'!$O$6</f>
        <v>0</v>
      </c>
      <c r="N160" s="81" t="n">
        <f aca="false">I160*'W Assumptions'!$D$55+I146*(1-'W Assumptions'!$D$55)</f>
        <v>12997.8947368421</v>
      </c>
      <c r="O160" s="81" t="n">
        <f aca="false">H160-I160-J160</f>
        <v>17949.4736842105</v>
      </c>
    </row>
    <row r="161" customFormat="false" ht="21" hidden="false" customHeight="true" outlineLevel="0" collapsed="false">
      <c r="C161" s="144" t="n">
        <f aca="false">46600</f>
        <v>46600</v>
      </c>
      <c r="D161" s="81" t="n">
        <f aca="false">1</f>
        <v>1</v>
      </c>
      <c r="E161" s="81" t="str">
        <f aca="false">'W Programs'!C7</f>
        <v>TLI</v>
      </c>
      <c r="F161" s="81" t="str">
        <f aca="false">'W Programs'!D7</f>
        <v>Activations</v>
      </c>
      <c r="G161" s="145" t="n">
        <f aca="false">INDEX('W Programs'!$F$7:$H$7,1,D161)*INDEX('W Assumptions'!$D$7:$F$7,1,D161)*'W Assumptions'!D106/SUM('W Assumptions'!D$95:D$106)</f>
        <v>0.294736842105263</v>
      </c>
      <c r="H161" s="81" t="n">
        <f aca="false">G161*INDEX('W Programs'!$I$7:$K$7,1,D161)*INDEX('W Assumptions'!$D$12:$F$12,1,D161)</f>
        <v>19157.8947368421</v>
      </c>
      <c r="I161" s="81" t="n">
        <f aca="false">H161*CHOOSE(D161,'W Programs'!L7,'W Programs'!Q7,'W Programs'!R7)*INDEX('W Assumptions'!$D$17:$F$17,1,D161)</f>
        <v>10536.8421052632</v>
      </c>
      <c r="J161" s="81" t="n">
        <f aca="false">H161*'W Programs'!$M$7*'W Programs'!$O$7</f>
        <v>0</v>
      </c>
      <c r="K161" s="149" t="n">
        <f aca="false">'W Programs'!$N$7</f>
        <v>0.3</v>
      </c>
      <c r="L161" s="81" t="n">
        <f aca="false">H161*K161+H133*(1-K161)</f>
        <v>19157.8947368421</v>
      </c>
      <c r="M161" s="81" t="n">
        <f aca="false">L161*'W Programs'!$M$7*'W Programs'!$O$7</f>
        <v>0</v>
      </c>
      <c r="N161" s="81" t="n">
        <f aca="false">I161*'W Assumptions'!$D$55+I147*(1-'W Assumptions'!$D$55)</f>
        <v>10536.8421052632</v>
      </c>
      <c r="O161" s="81" t="n">
        <f aca="false">H161-I161-J161</f>
        <v>8621.05263157895</v>
      </c>
    </row>
    <row r="162" customFormat="false" ht="21" hidden="false" customHeight="true" outlineLevel="0" collapsed="false">
      <c r="C162" s="144" t="n">
        <f aca="false">46600</f>
        <v>46600</v>
      </c>
      <c r="D162" s="81" t="n">
        <f aca="false">1</f>
        <v>1</v>
      </c>
      <c r="E162" s="81" t="str">
        <f aca="false">'W Programs'!C8</f>
        <v>TLI</v>
      </c>
      <c r="F162" s="81" t="str">
        <f aca="false">'W Programs'!D8</f>
        <v>Workshops</v>
      </c>
      <c r="G162" s="145" t="n">
        <f aca="false">INDEX('W Programs'!$F$8:$H$8,1,D162)*INDEX('W Assumptions'!$D$7:$F$7,1,D162)*'W Assumptions'!D106/SUM('W Assumptions'!D$95:D$106)</f>
        <v>3.31578947368421</v>
      </c>
      <c r="H162" s="81" t="n">
        <f aca="false">G162*INDEX('W Programs'!$I$8:$K$8,1,D162)*INDEX('W Assumptions'!$D$12:$F$12,1,D162)</f>
        <v>13263.1578947368</v>
      </c>
      <c r="I162" s="81" t="n">
        <f aca="false">H162*CHOOSE(D162,'W Programs'!L8,'W Programs'!Q8,'W Programs'!R8)*INDEX('W Assumptions'!$D$17:$F$17,1,D162)</f>
        <v>5968.42105263158</v>
      </c>
      <c r="J162" s="81" t="n">
        <f aca="false">H162*'W Programs'!$M$8*'W Programs'!$O$8</f>
        <v>0</v>
      </c>
      <c r="K162" s="149" t="n">
        <f aca="false">'W Programs'!$N$8</f>
        <v>0.7</v>
      </c>
      <c r="L162" s="81" t="n">
        <f aca="false">H162*K162+H134*(1-K162)</f>
        <v>13263.1578947368</v>
      </c>
      <c r="M162" s="81" t="n">
        <f aca="false">L162*'W Programs'!$M$8*'W Programs'!$O$8</f>
        <v>0</v>
      </c>
      <c r="N162" s="81" t="n">
        <f aca="false">I162*'W Assumptions'!$D$55+I148*(1-'W Assumptions'!$D$55)</f>
        <v>5968.42105263158</v>
      </c>
      <c r="O162" s="81" t="n">
        <f aca="false">H162-I162-J162</f>
        <v>7294.73684210526</v>
      </c>
    </row>
    <row r="163" customFormat="false" ht="21" hidden="false" customHeight="true" outlineLevel="0" collapsed="false">
      <c r="C163" s="144" t="n">
        <f aca="false">46600</f>
        <v>46600</v>
      </c>
      <c r="D163" s="81" t="n">
        <f aca="false">1</f>
        <v>1</v>
      </c>
      <c r="E163" s="81" t="str">
        <f aca="false">'W Programs'!C9</f>
        <v>TLI</v>
      </c>
      <c r="F163" s="81" t="str">
        <f aca="false">'W Programs'!D9</f>
        <v>Installations</v>
      </c>
      <c r="G163" s="145" t="n">
        <f aca="false">INDEX('W Programs'!$F$9:$H$9,1,D163)*INDEX('W Assumptions'!$D$7:$F$7,1,D163)*'W Assumptions'!D106/SUM('W Assumptions'!D$95:D$106)</f>
        <v>0.0368421052631579</v>
      </c>
      <c r="H163" s="81" t="n">
        <f aca="false">G163*INDEX('W Programs'!$I$9:$K$9,1,D163)*INDEX('W Assumptions'!$D$12:$F$12,1,D163)</f>
        <v>9210.52631578947</v>
      </c>
      <c r="I163" s="81" t="n">
        <f aca="false">H163*CHOOSE(D163,'W Programs'!L9,'W Programs'!Q9,'W Programs'!R9)*INDEX('W Assumptions'!$D$17:$F$17,1,D163)</f>
        <v>5986.84210526316</v>
      </c>
      <c r="J163" s="81" t="n">
        <f aca="false">H163*'W Programs'!$M$9*'W Programs'!$O$9</f>
        <v>0</v>
      </c>
      <c r="K163" s="149" t="n">
        <f aca="false">'W Programs'!$N$9</f>
        <v>0.3</v>
      </c>
      <c r="L163" s="81" t="n">
        <f aca="false">H163*K163+H135*(1-K163)</f>
        <v>9210.52631578947</v>
      </c>
      <c r="M163" s="81" t="n">
        <f aca="false">L163*'W Programs'!$M$9*'W Programs'!$O$9</f>
        <v>0</v>
      </c>
      <c r="N163" s="81" t="n">
        <f aca="false">I163*'W Assumptions'!$D$55+I149*(1-'W Assumptions'!$D$55)</f>
        <v>5986.84210526316</v>
      </c>
      <c r="O163" s="81" t="n">
        <f aca="false">H163-I163-J163</f>
        <v>3223.68421052632</v>
      </c>
    </row>
    <row r="164" customFormat="false" ht="21" hidden="false" customHeight="true" outlineLevel="0" collapsed="false">
      <c r="C164" s="144" t="n">
        <f aca="false">46600</f>
        <v>46600</v>
      </c>
      <c r="D164" s="81" t="n">
        <f aca="false">1</f>
        <v>1</v>
      </c>
      <c r="E164" s="81" t="str">
        <f aca="false">'W Programs'!C10</f>
        <v>TLI</v>
      </c>
      <c r="F164" s="81" t="str">
        <f aca="false">'W Programs'!D10</f>
        <v>Digital</v>
      </c>
      <c r="G164" s="145" t="n">
        <f aca="false">INDEX('W Programs'!$F$10:$H$10,1,D164)*INDEX('W Assumptions'!$D$7:$F$7,1,D164)*'W Assumptions'!D106/SUM('W Assumptions'!D$95:D$106)</f>
        <v>14.7368421052632</v>
      </c>
      <c r="H164" s="81" t="n">
        <f aca="false">G164*INDEX('W Programs'!$I$10:$K$10,1,D164)*INDEX('W Assumptions'!$D$12:$F$12,1,D164)</f>
        <v>5157.89473684211</v>
      </c>
      <c r="I164" s="81" t="n">
        <f aca="false">H164*CHOOSE(D164,'W Programs'!L10,'W Programs'!Q10,'W Programs'!R10)*INDEX('W Assumptions'!$D$17:$F$17,1,D164)</f>
        <v>1031.57894736842</v>
      </c>
      <c r="J164" s="81" t="n">
        <f aca="false">H164*'W Programs'!$M$10*'W Programs'!$O$10</f>
        <v>0</v>
      </c>
      <c r="K164" s="149" t="n">
        <f aca="false">'W Programs'!$N$10</f>
        <v>1</v>
      </c>
      <c r="L164" s="81" t="n">
        <f aca="false">H164*K164+H136*(1-K164)</f>
        <v>5157.89473684211</v>
      </c>
      <c r="M164" s="81" t="n">
        <f aca="false">L164*'W Programs'!$M$10*'W Programs'!$O$10</f>
        <v>0</v>
      </c>
      <c r="N164" s="81" t="n">
        <f aca="false">I164*'W Assumptions'!$D$55+I150*(1-'W Assumptions'!$D$55)</f>
        <v>1031.57894736842</v>
      </c>
      <c r="O164" s="81" t="n">
        <f aca="false">H164-I164-J164</f>
        <v>4126.31578947368</v>
      </c>
    </row>
    <row r="165" customFormat="false" ht="21" hidden="false" customHeight="true" outlineLevel="0" collapsed="false">
      <c r="C165" s="144" t="n">
        <f aca="false">46600</f>
        <v>46600</v>
      </c>
      <c r="D165" s="81" t="n">
        <f aca="false">1</f>
        <v>1</v>
      </c>
      <c r="E165" s="81" t="str">
        <f aca="false">'W Programs'!C11</f>
        <v>TLI</v>
      </c>
      <c r="F165" s="81" t="str">
        <f aca="false">'W Programs'!D11</f>
        <v>Retail</v>
      </c>
      <c r="G165" s="145" t="n">
        <f aca="false">INDEX('W Programs'!$F$11:$H$11,1,D165)*INDEX('W Assumptions'!$D$7:$F$7,1,D165)*'W Assumptions'!D106/SUM('W Assumptions'!D$95:D$106)</f>
        <v>44.2105263157895</v>
      </c>
      <c r="H165" s="81" t="n">
        <f aca="false">G165*INDEX('W Programs'!$I$11:$K$11,1,D165)*INDEX('W Assumptions'!$D$12:$F$12,1,D165)</f>
        <v>10610.5263157895</v>
      </c>
      <c r="I165" s="81" t="n">
        <f aca="false">H165*CHOOSE(D165,'W Programs'!L11,'W Programs'!Q11,'W Programs'!R11)*INDEX('W Assumptions'!$D$17:$F$17,1,D165)</f>
        <v>5835.78947368421</v>
      </c>
      <c r="J165" s="81" t="n">
        <f aca="false">H165*'W Programs'!$M$11*'W Programs'!$O$11</f>
        <v>0</v>
      </c>
      <c r="K165" s="149" t="n">
        <f aca="false">'W Programs'!$N$11</f>
        <v>1</v>
      </c>
      <c r="L165" s="81" t="n">
        <f aca="false">H165*K165+H137*(1-K165)</f>
        <v>10610.5263157895</v>
      </c>
      <c r="M165" s="81" t="n">
        <f aca="false">L165*'W Programs'!$M$11*'W Programs'!$O$11</f>
        <v>0</v>
      </c>
      <c r="N165" s="81" t="n">
        <f aca="false">I165*'W Assumptions'!$D$55+I151*(1-'W Assumptions'!$D$55)</f>
        <v>5835.78947368421</v>
      </c>
      <c r="O165" s="81" t="n">
        <f aca="false">H165-I165-J165</f>
        <v>4774.73684210526</v>
      </c>
    </row>
    <row r="166" customFormat="false" ht="21" hidden="false" customHeight="true" outlineLevel="0" collapsed="false">
      <c r="C166" s="144" t="n">
        <f aca="false">46600</f>
        <v>46600</v>
      </c>
      <c r="D166" s="81" t="n">
        <f aca="false">1</f>
        <v>1</v>
      </c>
      <c r="E166" s="81" t="str">
        <f aca="false">'W Programs'!C12</f>
        <v>TLI</v>
      </c>
      <c r="F166" s="81" t="str">
        <f aca="false">'W Programs'!D12</f>
        <v>Licensing</v>
      </c>
      <c r="G166" s="145" t="n">
        <f aca="false">INDEX('W Programs'!$F$12:$H$12,1,D166)*INDEX('W Assumptions'!$D$7:$F$7,1,D166)*'W Assumptions'!D106/SUM('W Assumptions'!D$95:D$106)</f>
        <v>0.0368421052631579</v>
      </c>
      <c r="H166" s="81" t="n">
        <f aca="false">G166*INDEX('W Programs'!$I$12:$K$12,1,D166)*INDEX('W Assumptions'!$D$12:$F$12,1,D166)</f>
        <v>3684.21052631579</v>
      </c>
      <c r="I166" s="81" t="n">
        <f aca="false">H166*CHOOSE(D166,'W Programs'!L12,'W Programs'!Q12,'W Programs'!R12)*INDEX('W Assumptions'!$D$17:$F$17,1,D166)</f>
        <v>552.631578947368</v>
      </c>
      <c r="J166" s="81" t="n">
        <f aca="false">H166*'W Programs'!$M$12*'W Programs'!$O$12</f>
        <v>0</v>
      </c>
      <c r="K166" s="149" t="n">
        <f aca="false">'W Programs'!$N$12</f>
        <v>0.3</v>
      </c>
      <c r="L166" s="81" t="n">
        <f aca="false">H166*K166+H138*(1-K166)</f>
        <v>3684.21052631579</v>
      </c>
      <c r="M166" s="81" t="n">
        <f aca="false">L166*'W Programs'!$M$12*'W Programs'!$O$12</f>
        <v>0</v>
      </c>
      <c r="N166" s="81" t="n">
        <f aca="false">I166*'W Assumptions'!$D$55+I152*(1-'W Assumptions'!$D$55)</f>
        <v>552.631578947368</v>
      </c>
      <c r="O166" s="81" t="n">
        <f aca="false">H166-I166-J166</f>
        <v>3131.57894736842</v>
      </c>
    </row>
    <row r="167" customFormat="false" ht="21" hidden="false" customHeight="true" outlineLevel="0" collapsed="false">
      <c r="C167" s="144" t="n">
        <f aca="false">46600</f>
        <v>46600</v>
      </c>
      <c r="D167" s="81" t="n">
        <f aca="false">1</f>
        <v>1</v>
      </c>
      <c r="E167" s="81" t="str">
        <f aca="false">'W Programs'!C13</f>
        <v>WOO IP</v>
      </c>
      <c r="F167" s="81" t="str">
        <f aca="false">'W Programs'!D13</f>
        <v>Schools</v>
      </c>
      <c r="G167" s="145" t="n">
        <f aca="false">INDEX('W Programs'!$F$13:$H$13,1,D167)*INDEX('W Assumptions'!$D$7:$F$7,1,D167)*'W Assumptions'!D106/SUM('W Assumptions'!D$95:D$106)</f>
        <v>0.410526315789474</v>
      </c>
      <c r="H167" s="81" t="n">
        <f aca="false">G167*INDEX('W Programs'!$I$13:$K$13,1,D167)*INDEX('W Assumptions'!$D$12:$F$12,1,D167)</f>
        <v>57473.6842105263</v>
      </c>
      <c r="I167" s="81" t="n">
        <f aca="false">H167*CHOOSE(D167,'W Programs'!L13,'W Programs'!Q13,'W Programs'!R13)*INDEX('W Assumptions'!$D$17:$F$17,1,D167)</f>
        <v>24138.9473684211</v>
      </c>
      <c r="J167" s="81" t="n">
        <f aca="false">H167*'W Programs'!$M$13*'W Programs'!$O$13</f>
        <v>0</v>
      </c>
      <c r="K167" s="149" t="n">
        <f aca="false">'W Programs'!$N$13</f>
        <v>0.3</v>
      </c>
      <c r="L167" s="81" t="n">
        <f aca="false">H167*K167+H139*(1-K167)</f>
        <v>57473.6842105263</v>
      </c>
      <c r="M167" s="81" t="n">
        <f aca="false">L167*'W Programs'!$M$13*'W Programs'!$O$13</f>
        <v>0</v>
      </c>
      <c r="N167" s="81" t="n">
        <f aca="false">I167*'W Assumptions'!$D$55+I153*(1-'W Assumptions'!$D$55)</f>
        <v>24138.9473684211</v>
      </c>
      <c r="O167" s="81" t="n">
        <f aca="false">H167-I167-J167</f>
        <v>33334.7368421053</v>
      </c>
    </row>
    <row r="168" customFormat="false" ht="21" hidden="false" customHeight="true" outlineLevel="0" collapsed="false">
      <c r="C168" s="144" t="n">
        <f aca="false">46600</f>
        <v>46600</v>
      </c>
      <c r="D168" s="81" t="n">
        <f aca="false">1</f>
        <v>1</v>
      </c>
      <c r="E168" s="81" t="str">
        <f aca="false">'W Programs'!C14</f>
        <v>WOO IP</v>
      </c>
      <c r="F168" s="81" t="str">
        <f aca="false">'W Programs'!D14</f>
        <v>Activations</v>
      </c>
      <c r="G168" s="145" t="n">
        <f aca="false">INDEX('W Programs'!$F$14:$H$14,1,D168)*INDEX('W Assumptions'!$D$7:$F$7,1,D168)*'W Assumptions'!D106/SUM('W Assumptions'!D$95:D$106)</f>
        <v>0.547368421052632</v>
      </c>
      <c r="H168" s="81" t="n">
        <f aca="false">G168*INDEX('W Programs'!$I$14:$K$14,1,D168)*INDEX('W Assumptions'!$D$12:$F$12,1,D168)</f>
        <v>35578.9473684211</v>
      </c>
      <c r="I168" s="81" t="n">
        <f aca="false">H168*CHOOSE(D168,'W Programs'!L14,'W Programs'!Q14,'W Programs'!R14)*INDEX('W Assumptions'!$D$17:$F$17,1,D168)</f>
        <v>19568.4210526316</v>
      </c>
      <c r="J168" s="81" t="n">
        <f aca="false">H168*'W Programs'!$M$14*'W Programs'!$O$14</f>
        <v>0</v>
      </c>
      <c r="K168" s="149" t="n">
        <f aca="false">'W Programs'!$N$14</f>
        <v>0.3</v>
      </c>
      <c r="L168" s="81" t="n">
        <f aca="false">H168*K168+H140*(1-K168)</f>
        <v>35578.9473684211</v>
      </c>
      <c r="M168" s="81" t="n">
        <f aca="false">L168*'W Programs'!$M$14*'W Programs'!$O$14</f>
        <v>0</v>
      </c>
      <c r="N168" s="81" t="n">
        <f aca="false">I168*'W Assumptions'!$D$55+I154*(1-'W Assumptions'!$D$55)</f>
        <v>19568.4210526316</v>
      </c>
      <c r="O168" s="81" t="n">
        <f aca="false">H168-I168-J168</f>
        <v>16010.5263157895</v>
      </c>
    </row>
    <row r="169" customFormat="false" ht="21" hidden="false" customHeight="true" outlineLevel="0" collapsed="false">
      <c r="C169" s="144" t="n">
        <f aca="false">46600</f>
        <v>46600</v>
      </c>
      <c r="D169" s="81" t="n">
        <f aca="false">1</f>
        <v>1</v>
      </c>
      <c r="E169" s="81" t="str">
        <f aca="false">'W Programs'!C15</f>
        <v>WOO IP</v>
      </c>
      <c r="F169" s="81" t="str">
        <f aca="false">'W Programs'!D15</f>
        <v>Workshops</v>
      </c>
      <c r="G169" s="145" t="n">
        <f aca="false">INDEX('W Programs'!$F$15:$H$15,1,D169)*INDEX('W Assumptions'!$D$7:$F$7,1,D169)*'W Assumptions'!D106/SUM('W Assumptions'!D$95:D$106)</f>
        <v>6.15789473684211</v>
      </c>
      <c r="H169" s="81" t="n">
        <f aca="false">G169*INDEX('W Programs'!$I$15:$K$15,1,D169)*INDEX('W Assumptions'!$D$12:$F$12,1,D169)</f>
        <v>24631.5789473684</v>
      </c>
      <c r="I169" s="81" t="n">
        <f aca="false">H169*CHOOSE(D169,'W Programs'!L15,'W Programs'!Q15,'W Programs'!R15)*INDEX('W Assumptions'!$D$17:$F$17,1,D169)</f>
        <v>11084.2105263158</v>
      </c>
      <c r="J169" s="81" t="n">
        <f aca="false">H169*'W Programs'!$M$15*'W Programs'!$O$15</f>
        <v>0</v>
      </c>
      <c r="K169" s="149" t="n">
        <f aca="false">'W Programs'!$N$15</f>
        <v>0.7</v>
      </c>
      <c r="L169" s="81" t="n">
        <f aca="false">H169*K169+H141*(1-K169)</f>
        <v>24631.5789473684</v>
      </c>
      <c r="M169" s="81" t="n">
        <f aca="false">L169*'W Programs'!$M$15*'W Programs'!$O$15</f>
        <v>0</v>
      </c>
      <c r="N169" s="81" t="n">
        <f aca="false">I169*'W Assumptions'!$D$55+I155*(1-'W Assumptions'!$D$55)</f>
        <v>11084.2105263158</v>
      </c>
      <c r="O169" s="81" t="n">
        <f aca="false">H169-I169-J169</f>
        <v>13547.3684210526</v>
      </c>
    </row>
    <row r="170" customFormat="false" ht="21" hidden="false" customHeight="true" outlineLevel="0" collapsed="false">
      <c r="C170" s="144" t="n">
        <f aca="false">46600</f>
        <v>46600</v>
      </c>
      <c r="D170" s="81" t="n">
        <f aca="false">1</f>
        <v>1</v>
      </c>
      <c r="E170" s="81" t="str">
        <f aca="false">'W Programs'!C16</f>
        <v>WOO IP</v>
      </c>
      <c r="F170" s="81" t="str">
        <f aca="false">'W Programs'!D16</f>
        <v>Installations</v>
      </c>
      <c r="G170" s="145" t="n">
        <f aca="false">INDEX('W Programs'!$F$16:$H$16,1,D170)*INDEX('W Assumptions'!$D$7:$F$7,1,D170)*'W Assumptions'!D106/SUM('W Assumptions'!D$95:D$106)</f>
        <v>0.068421052631579</v>
      </c>
      <c r="H170" s="81" t="n">
        <f aca="false">G170*INDEX('W Programs'!$I$16:$K$16,1,D170)*INDEX('W Assumptions'!$D$12:$F$12,1,D170)</f>
        <v>17105.2631578947</v>
      </c>
      <c r="I170" s="81" t="n">
        <f aca="false">H170*CHOOSE(D170,'W Programs'!L16,'W Programs'!Q16,'W Programs'!R16)*INDEX('W Assumptions'!$D$17:$F$17,1,D170)</f>
        <v>11118.4210526316</v>
      </c>
      <c r="J170" s="81" t="n">
        <f aca="false">H170*'W Programs'!$M$16*'W Programs'!$O$16</f>
        <v>0</v>
      </c>
      <c r="K170" s="149" t="n">
        <f aca="false">'W Programs'!$N$16</f>
        <v>0.3</v>
      </c>
      <c r="L170" s="81" t="n">
        <f aca="false">H170*K170+H142*(1-K170)</f>
        <v>17105.2631578947</v>
      </c>
      <c r="M170" s="81" t="n">
        <f aca="false">L170*'W Programs'!$M$16*'W Programs'!$O$16</f>
        <v>0</v>
      </c>
      <c r="N170" s="81" t="n">
        <f aca="false">I170*'W Assumptions'!$D$55+I156*(1-'W Assumptions'!$D$55)</f>
        <v>11118.4210526316</v>
      </c>
      <c r="O170" s="81" t="n">
        <f aca="false">H170-I170-J170</f>
        <v>5986.84210526316</v>
      </c>
    </row>
    <row r="171" customFormat="false" ht="21" hidden="false" customHeight="true" outlineLevel="0" collapsed="false">
      <c r="C171" s="144" t="n">
        <f aca="false">46600</f>
        <v>46600</v>
      </c>
      <c r="D171" s="81" t="n">
        <f aca="false">1</f>
        <v>1</v>
      </c>
      <c r="E171" s="81" t="str">
        <f aca="false">'W Programs'!C17</f>
        <v>WOO IP</v>
      </c>
      <c r="F171" s="81" t="str">
        <f aca="false">'W Programs'!D17</f>
        <v>Digital</v>
      </c>
      <c r="G171" s="145" t="n">
        <f aca="false">INDEX('W Programs'!$F$17:$H$17,1,D171)*INDEX('W Assumptions'!$D$7:$F$7,1,D171)*'W Assumptions'!D106/SUM('W Assumptions'!D$95:D$106)</f>
        <v>27.3684210526316</v>
      </c>
      <c r="H171" s="81" t="n">
        <f aca="false">G171*INDEX('W Programs'!$I$17:$K$17,1,D171)*INDEX('W Assumptions'!$D$12:$F$12,1,D171)</f>
        <v>9578.94736842105</v>
      </c>
      <c r="I171" s="81" t="n">
        <f aca="false">H171*CHOOSE(D171,'W Programs'!L17,'W Programs'!Q17,'W Programs'!R17)*INDEX('W Assumptions'!$D$17:$F$17,1,D171)</f>
        <v>1915.78947368421</v>
      </c>
      <c r="J171" s="81" t="n">
        <f aca="false">H171*'W Programs'!$M$17*'W Programs'!$O$17</f>
        <v>0</v>
      </c>
      <c r="K171" s="149" t="n">
        <f aca="false">'W Programs'!$N$17</f>
        <v>1</v>
      </c>
      <c r="L171" s="81" t="n">
        <f aca="false">H171*K171+H143*(1-K171)</f>
        <v>9578.94736842105</v>
      </c>
      <c r="M171" s="81" t="n">
        <f aca="false">L171*'W Programs'!$M$17*'W Programs'!$O$17</f>
        <v>0</v>
      </c>
      <c r="N171" s="81" t="n">
        <f aca="false">I171*'W Assumptions'!$D$55+I157*(1-'W Assumptions'!$D$55)</f>
        <v>1915.78947368421</v>
      </c>
      <c r="O171" s="81" t="n">
        <f aca="false">H171-I171-J171</f>
        <v>7663.15789473684</v>
      </c>
    </row>
    <row r="172" customFormat="false" ht="21" hidden="false" customHeight="true" outlineLevel="0" collapsed="false">
      <c r="C172" s="144" t="n">
        <f aca="false">46600</f>
        <v>46600</v>
      </c>
      <c r="D172" s="81" t="n">
        <f aca="false">1</f>
        <v>1</v>
      </c>
      <c r="E172" s="81" t="str">
        <f aca="false">'W Programs'!C18</f>
        <v>WOO IP</v>
      </c>
      <c r="F172" s="81" t="str">
        <f aca="false">'W Programs'!D18</f>
        <v>Retail</v>
      </c>
      <c r="G172" s="145" t="n">
        <f aca="false">INDEX('W Programs'!$F$18:$H$18,1,D172)*INDEX('W Assumptions'!$D$7:$F$7,1,D172)*'W Assumptions'!D106/SUM('W Assumptions'!D$95:D$106)</f>
        <v>82.1052631578947</v>
      </c>
      <c r="H172" s="81" t="n">
        <f aca="false">G172*INDEX('W Programs'!$I$18:$K$18,1,D172)*INDEX('W Assumptions'!$D$12:$F$12,1,D172)</f>
        <v>19705.2631578947</v>
      </c>
      <c r="I172" s="81" t="n">
        <f aca="false">H172*CHOOSE(D172,'W Programs'!L18,'W Programs'!Q18,'W Programs'!R18)*INDEX('W Assumptions'!$D$17:$F$17,1,D172)</f>
        <v>10837.8947368421</v>
      </c>
      <c r="J172" s="81" t="n">
        <f aca="false">H172*'W Programs'!$M$18*'W Programs'!$O$18</f>
        <v>0</v>
      </c>
      <c r="K172" s="149" t="n">
        <f aca="false">'W Programs'!$N$18</f>
        <v>1</v>
      </c>
      <c r="L172" s="81" t="n">
        <f aca="false">H172*K172+H144*(1-K172)</f>
        <v>19705.2631578947</v>
      </c>
      <c r="M172" s="81" t="n">
        <f aca="false">L172*'W Programs'!$M$18*'W Programs'!$O$18</f>
        <v>0</v>
      </c>
      <c r="N172" s="81" t="n">
        <f aca="false">I172*'W Assumptions'!$D$55+I158*(1-'W Assumptions'!$D$55)</f>
        <v>10837.8947368421</v>
      </c>
      <c r="O172" s="81" t="n">
        <f aca="false">H172-I172-J172</f>
        <v>8867.36842105263</v>
      </c>
    </row>
    <row r="173" customFormat="false" ht="21" hidden="false" customHeight="true" outlineLevel="0" collapsed="false">
      <c r="C173" s="144" t="n">
        <f aca="false">46600</f>
        <v>46600</v>
      </c>
      <c r="D173" s="81" t="n">
        <f aca="false">1</f>
        <v>1</v>
      </c>
      <c r="E173" s="81" t="str">
        <f aca="false">'W Programs'!C19</f>
        <v>WOO IP</v>
      </c>
      <c r="F173" s="81" t="str">
        <f aca="false">'W Programs'!D19</f>
        <v>Licensing</v>
      </c>
      <c r="G173" s="145" t="n">
        <f aca="false">INDEX('W Programs'!$F$19:$H$19,1,D173)*INDEX('W Assumptions'!$D$7:$F$7,1,D173)*'W Assumptions'!D106/SUM('W Assumptions'!D$95:D$106)</f>
        <v>0.068421052631579</v>
      </c>
      <c r="H173" s="81" t="n">
        <f aca="false">G173*INDEX('W Programs'!$I$19:$K$19,1,D173)*INDEX('W Assumptions'!$D$12:$F$12,1,D173)</f>
        <v>6842.1052631579</v>
      </c>
      <c r="I173" s="81" t="n">
        <f aca="false">H173*CHOOSE(D173,'W Programs'!L19,'W Programs'!Q19,'W Programs'!R19)*INDEX('W Assumptions'!$D$17:$F$17,1,D173)</f>
        <v>1026.31578947368</v>
      </c>
      <c r="J173" s="81" t="n">
        <f aca="false">H173*'W Programs'!$M$19*'W Programs'!$O$19</f>
        <v>0</v>
      </c>
      <c r="K173" s="149" t="n">
        <f aca="false">'W Programs'!$N$19</f>
        <v>0.3</v>
      </c>
      <c r="L173" s="81" t="n">
        <f aca="false">H173*K173+H145*(1-K173)</f>
        <v>6842.10526315789</v>
      </c>
      <c r="M173" s="81" t="n">
        <f aca="false">L173*'W Programs'!$M$19*'W Programs'!$O$19</f>
        <v>0</v>
      </c>
      <c r="N173" s="81" t="n">
        <f aca="false">I173*'W Assumptions'!$D$55+I159*(1-'W Assumptions'!$D$55)</f>
        <v>1026.31578947368</v>
      </c>
      <c r="O173" s="81" t="n">
        <f aca="false">H173-I173-J173</f>
        <v>5815.78947368421</v>
      </c>
    </row>
    <row r="174" customFormat="false" ht="21" hidden="false" customHeight="true" outlineLevel="0" collapsed="false">
      <c r="C174" s="144" t="n">
        <f aca="false">46631</f>
        <v>46631</v>
      </c>
      <c r="D174" s="81" t="n">
        <f aca="false">2</f>
        <v>2</v>
      </c>
      <c r="E174" s="81" t="str">
        <f aca="false">'W Programs'!C6</f>
        <v>TLI</v>
      </c>
      <c r="F174" s="81" t="str">
        <f aca="false">'W Programs'!D6</f>
        <v>Schools</v>
      </c>
      <c r="G174" s="145" t="n">
        <f aca="false">INDEX('W Programs'!$F$6:$H$6,1,D174)*INDEX('W Assumptions'!$D$7:$F$7,1,D174)*'W Assumptions'!E95/SUM('W Assumptions'!E$95:E$106)</f>
        <v>0.466666666666667</v>
      </c>
      <c r="H174" s="81" t="n">
        <f aca="false">G174*INDEX('W Programs'!$I$6:$K$6,1,D174)*INDEX('W Assumptions'!$D$12:$F$12,1,D174)</f>
        <v>79333.3333333333</v>
      </c>
      <c r="I174" s="81" t="n">
        <f aca="false">H174*CHOOSE(D174,'W Programs'!L6,'W Programs'!Q6,'W Programs'!R6)*INDEX('W Assumptions'!$D$17:$F$17,1,D174)</f>
        <v>31733.3333333333</v>
      </c>
      <c r="J174" s="81" t="n">
        <f aca="false">H174*'W Programs'!$M$6*'W Programs'!$O$6</f>
        <v>0</v>
      </c>
      <c r="K174" s="149" t="n">
        <f aca="false">'W Programs'!$N$6</f>
        <v>0.3</v>
      </c>
      <c r="L174" s="81" t="n">
        <f aca="false">H174*K174+H146*(1-K174)</f>
        <v>45463.1578947368</v>
      </c>
      <c r="M174" s="81" t="n">
        <f aca="false">L174*'W Programs'!$M$6*'W Programs'!$O$6</f>
        <v>0</v>
      </c>
      <c r="N174" s="81" t="n">
        <f aca="false">I174*'W Assumptions'!$D$55+I160*(1-'W Assumptions'!$D$55)</f>
        <v>27986.2456140351</v>
      </c>
      <c r="O174" s="81" t="n">
        <f aca="false">H174-I174-J174</f>
        <v>47600</v>
      </c>
    </row>
    <row r="175" customFormat="false" ht="21" hidden="false" customHeight="true" outlineLevel="0" collapsed="false">
      <c r="C175" s="144" t="n">
        <f aca="false">46631</f>
        <v>46631</v>
      </c>
      <c r="D175" s="81" t="n">
        <f aca="false">2</f>
        <v>2</v>
      </c>
      <c r="E175" s="81" t="str">
        <f aca="false">'W Programs'!C7</f>
        <v>TLI</v>
      </c>
      <c r="F175" s="81" t="str">
        <f aca="false">'W Programs'!D7</f>
        <v>Activations</v>
      </c>
      <c r="G175" s="145" t="n">
        <f aca="false">INDEX('W Programs'!$F$7:$H$7,1,D175)*INDEX('W Assumptions'!$D$7:$F$7,1,D175)*'W Assumptions'!E95/SUM('W Assumptions'!E$95:E$106)</f>
        <v>0.6</v>
      </c>
      <c r="H175" s="81" t="n">
        <f aca="false">G175*INDEX('W Programs'!$I$7:$K$7,1,D175)*INDEX('W Assumptions'!$D$12:$F$12,1,D175)</f>
        <v>45000</v>
      </c>
      <c r="I175" s="81" t="n">
        <f aca="false">H175*CHOOSE(D175,'W Programs'!L7,'W Programs'!Q7,'W Programs'!R7)*INDEX('W Assumptions'!$D$17:$F$17,1,D175)</f>
        <v>23400</v>
      </c>
      <c r="J175" s="81" t="n">
        <f aca="false">H175*'W Programs'!$M$7*'W Programs'!$O$7</f>
        <v>0</v>
      </c>
      <c r="K175" s="149" t="n">
        <f aca="false">'W Programs'!$N$7</f>
        <v>0.3</v>
      </c>
      <c r="L175" s="81" t="n">
        <f aca="false">H175*K175+H147*(1-K175)</f>
        <v>26910.5263157895</v>
      </c>
      <c r="M175" s="81" t="n">
        <f aca="false">L175*'W Programs'!$M$7*'W Programs'!$O$7</f>
        <v>0</v>
      </c>
      <c r="N175" s="81" t="n">
        <f aca="false">I175*'W Assumptions'!$D$55+I161*(1-'W Assumptions'!$D$55)</f>
        <v>20827.3684210526</v>
      </c>
      <c r="O175" s="81" t="n">
        <f aca="false">H175-I175-J175</f>
        <v>21600</v>
      </c>
    </row>
    <row r="176" customFormat="false" ht="21" hidden="false" customHeight="true" outlineLevel="0" collapsed="false">
      <c r="C176" s="144" t="n">
        <f aca="false">46631</f>
        <v>46631</v>
      </c>
      <c r="D176" s="81" t="n">
        <f aca="false">2</f>
        <v>2</v>
      </c>
      <c r="E176" s="81" t="str">
        <f aca="false">'W Programs'!C8</f>
        <v>TLI</v>
      </c>
      <c r="F176" s="81" t="str">
        <f aca="false">'W Programs'!D8</f>
        <v>Workshops</v>
      </c>
      <c r="G176" s="145" t="n">
        <f aca="false">INDEX('W Programs'!$F$8:$H$8,1,D176)*INDEX('W Assumptions'!$D$7:$F$7,1,D176)*'W Assumptions'!E95/SUM('W Assumptions'!E$95:E$106)</f>
        <v>5.33333333333333</v>
      </c>
      <c r="H176" s="81" t="n">
        <f aca="false">G176*INDEX('W Programs'!$I$8:$K$8,1,D176)*INDEX('W Assumptions'!$D$12:$F$12,1,D176)</f>
        <v>26666.6666666667</v>
      </c>
      <c r="I176" s="81" t="n">
        <f aca="false">H176*CHOOSE(D176,'W Programs'!L8,'W Programs'!Q8,'W Programs'!R8)*INDEX('W Assumptions'!$D$17:$F$17,1,D176)</f>
        <v>11200</v>
      </c>
      <c r="J176" s="81" t="n">
        <f aca="false">H176*'W Programs'!$M$8*'W Programs'!$O$8</f>
        <v>0</v>
      </c>
      <c r="K176" s="149" t="n">
        <f aca="false">'W Programs'!$N$8</f>
        <v>0.7</v>
      </c>
      <c r="L176" s="81" t="n">
        <f aca="false">H176*K176+H148*(1-K176)</f>
        <v>22645.6140350877</v>
      </c>
      <c r="M176" s="81" t="n">
        <f aca="false">L176*'W Programs'!$M$8*'W Programs'!$O$8</f>
        <v>0</v>
      </c>
      <c r="N176" s="81" t="n">
        <f aca="false">I176*'W Assumptions'!$D$55+I162*(1-'W Assumptions'!$D$55)</f>
        <v>10153.6842105263</v>
      </c>
      <c r="O176" s="81" t="n">
        <f aca="false">H176-I176-J176</f>
        <v>15466.6666666667</v>
      </c>
    </row>
    <row r="177" customFormat="false" ht="21" hidden="false" customHeight="true" outlineLevel="0" collapsed="false">
      <c r="C177" s="144" t="n">
        <f aca="false">46631</f>
        <v>46631</v>
      </c>
      <c r="D177" s="81" t="n">
        <f aca="false">2</f>
        <v>2</v>
      </c>
      <c r="E177" s="81" t="str">
        <f aca="false">'W Programs'!C9</f>
        <v>TLI</v>
      </c>
      <c r="F177" s="81" t="str">
        <f aca="false">'W Programs'!D9</f>
        <v>Installations</v>
      </c>
      <c r="G177" s="145" t="n">
        <f aca="false">INDEX('W Programs'!$F$9:$H$9,1,D177)*INDEX('W Assumptions'!$D$7:$F$7,1,D177)*'W Assumptions'!E95/SUM('W Assumptions'!E$95:E$106)</f>
        <v>0.1</v>
      </c>
      <c r="H177" s="81" t="n">
        <f aca="false">G177*INDEX('W Programs'!$I$9:$K$9,1,D177)*INDEX('W Assumptions'!$D$12:$F$12,1,D177)</f>
        <v>30000</v>
      </c>
      <c r="I177" s="81" t="n">
        <f aca="false">H177*CHOOSE(D177,'W Programs'!L9,'W Programs'!Q9,'W Programs'!R9)*INDEX('W Assumptions'!$D$17:$F$17,1,D177)</f>
        <v>18000</v>
      </c>
      <c r="J177" s="81" t="n">
        <f aca="false">H177*'W Programs'!$M$9*'W Programs'!$O$9</f>
        <v>0</v>
      </c>
      <c r="K177" s="149" t="n">
        <f aca="false">'W Programs'!$N$9</f>
        <v>0.3</v>
      </c>
      <c r="L177" s="81" t="n">
        <f aca="false">H177*K177+H149*(1-K177)</f>
        <v>15447.3684210526</v>
      </c>
      <c r="M177" s="81" t="n">
        <f aca="false">L177*'W Programs'!$M$9*'W Programs'!$O$9</f>
        <v>0</v>
      </c>
      <c r="N177" s="81" t="n">
        <f aca="false">I177*'W Assumptions'!$D$55+I163*(1-'W Assumptions'!$D$55)</f>
        <v>15597.3684210526</v>
      </c>
      <c r="O177" s="81" t="n">
        <f aca="false">H177-I177-J177</f>
        <v>12000</v>
      </c>
    </row>
    <row r="178" customFormat="false" ht="21" hidden="false" customHeight="true" outlineLevel="0" collapsed="false">
      <c r="C178" s="144" t="n">
        <f aca="false">46631</f>
        <v>46631</v>
      </c>
      <c r="D178" s="81" t="n">
        <f aca="false">2</f>
        <v>2</v>
      </c>
      <c r="E178" s="81" t="str">
        <f aca="false">'W Programs'!C10</f>
        <v>TLI</v>
      </c>
      <c r="F178" s="81" t="str">
        <f aca="false">'W Programs'!D10</f>
        <v>Digital</v>
      </c>
      <c r="G178" s="145" t="n">
        <f aca="false">INDEX('W Programs'!$F$10:$H$10,1,D178)*INDEX('W Assumptions'!$D$7:$F$7,1,D178)*'W Assumptions'!E95/SUM('W Assumptions'!E$95:E$106)</f>
        <v>50</v>
      </c>
      <c r="H178" s="81" t="n">
        <f aca="false">G178*INDEX('W Programs'!$I$10:$K$10,1,D178)*INDEX('W Assumptions'!$D$12:$F$12,1,D178)</f>
        <v>17500</v>
      </c>
      <c r="I178" s="81" t="n">
        <f aca="false">H178*CHOOSE(D178,'W Programs'!L10,'W Programs'!Q10,'W Programs'!R10)*INDEX('W Assumptions'!$D$17:$F$17,1,D178)</f>
        <v>3150</v>
      </c>
      <c r="J178" s="81" t="n">
        <f aca="false">H178*'W Programs'!$M$10*'W Programs'!$O$10</f>
        <v>0</v>
      </c>
      <c r="K178" s="149" t="n">
        <f aca="false">'W Programs'!$N$10</f>
        <v>1</v>
      </c>
      <c r="L178" s="81" t="n">
        <f aca="false">H178*K178+H150*(1-K178)</f>
        <v>17500</v>
      </c>
      <c r="M178" s="81" t="n">
        <f aca="false">L178*'W Programs'!$M$10*'W Programs'!$O$10</f>
        <v>0</v>
      </c>
      <c r="N178" s="81" t="n">
        <f aca="false">I178*'W Assumptions'!$D$55+I164*(1-'W Assumptions'!$D$55)</f>
        <v>2726.31578947368</v>
      </c>
      <c r="O178" s="81" t="n">
        <f aca="false">H178-I178-J178</f>
        <v>14350</v>
      </c>
    </row>
    <row r="179" customFormat="false" ht="21" hidden="false" customHeight="true" outlineLevel="0" collapsed="false">
      <c r="C179" s="144" t="n">
        <f aca="false">46631</f>
        <v>46631</v>
      </c>
      <c r="D179" s="81" t="n">
        <f aca="false">2</f>
        <v>2</v>
      </c>
      <c r="E179" s="81" t="str">
        <f aca="false">'W Programs'!C11</f>
        <v>TLI</v>
      </c>
      <c r="F179" s="81" t="str">
        <f aca="false">'W Programs'!D11</f>
        <v>Retail</v>
      </c>
      <c r="G179" s="145" t="n">
        <f aca="false">INDEX('W Programs'!$F$11:$H$11,1,D179)*INDEX('W Assumptions'!$D$7:$F$7,1,D179)*'W Assumptions'!E95/SUM('W Assumptions'!E$95:E$106)</f>
        <v>133.333333333333</v>
      </c>
      <c r="H179" s="81" t="n">
        <f aca="false">G179*INDEX('W Programs'!$I$11:$K$11,1,D179)*INDEX('W Assumptions'!$D$12:$F$12,1,D179)</f>
        <v>33333.3333333333</v>
      </c>
      <c r="I179" s="81" t="n">
        <f aca="false">H179*CHOOSE(D179,'W Programs'!L11,'W Programs'!Q11,'W Programs'!R11)*INDEX('W Assumptions'!$D$17:$F$17,1,D179)</f>
        <v>16666.6666666667</v>
      </c>
      <c r="J179" s="81" t="n">
        <f aca="false">H179*'W Programs'!$M$11*'W Programs'!$O$11</f>
        <v>0</v>
      </c>
      <c r="K179" s="149" t="n">
        <f aca="false">'W Programs'!$N$11</f>
        <v>1</v>
      </c>
      <c r="L179" s="81" t="n">
        <f aca="false">H179*K179+H151*(1-K179)</f>
        <v>33333.3333333333</v>
      </c>
      <c r="M179" s="81" t="n">
        <f aca="false">L179*'W Programs'!$M$11*'W Programs'!$O$11</f>
        <v>0</v>
      </c>
      <c r="N179" s="81" t="n">
        <f aca="false">I179*'W Assumptions'!$D$55+I165*(1-'W Assumptions'!$D$55)</f>
        <v>14500.4912280702</v>
      </c>
      <c r="O179" s="81" t="n">
        <f aca="false">H179-I179-J179</f>
        <v>16666.6666666667</v>
      </c>
    </row>
    <row r="180" customFormat="false" ht="21" hidden="false" customHeight="true" outlineLevel="0" collapsed="false">
      <c r="C180" s="144" t="n">
        <f aca="false">46631</f>
        <v>46631</v>
      </c>
      <c r="D180" s="81" t="n">
        <f aca="false">2</f>
        <v>2</v>
      </c>
      <c r="E180" s="81" t="str">
        <f aca="false">'W Programs'!C12</f>
        <v>TLI</v>
      </c>
      <c r="F180" s="81" t="str">
        <f aca="false">'W Programs'!D12</f>
        <v>Licensing</v>
      </c>
      <c r="G180" s="145" t="n">
        <f aca="false">INDEX('W Programs'!$F$12:$H$12,1,D180)*INDEX('W Assumptions'!$D$7:$F$7,1,D180)*'W Assumptions'!E95/SUM('W Assumptions'!E$95:E$106)</f>
        <v>0.0333333333333333</v>
      </c>
      <c r="H180" s="81" t="n">
        <f aca="false">G180*INDEX('W Programs'!$I$12:$K$12,1,D180)*INDEX('W Assumptions'!$D$12:$F$12,1,D180)</f>
        <v>10000</v>
      </c>
      <c r="I180" s="81" t="n">
        <f aca="false">H180*CHOOSE(D180,'W Programs'!L12,'W Programs'!Q12,'W Programs'!R12)*INDEX('W Assumptions'!$D$17:$F$17,1,D180)</f>
        <v>1200</v>
      </c>
      <c r="J180" s="81" t="n">
        <f aca="false">H180*'W Programs'!$M$12*'W Programs'!$O$12</f>
        <v>0</v>
      </c>
      <c r="K180" s="149" t="n">
        <f aca="false">'W Programs'!$N$12</f>
        <v>0.3</v>
      </c>
      <c r="L180" s="81" t="n">
        <f aca="false">H180*K180+H152*(1-K180)</f>
        <v>5578.94736842105</v>
      </c>
      <c r="M180" s="81" t="n">
        <f aca="false">L180*'W Programs'!$M$12*'W Programs'!$O$12</f>
        <v>0</v>
      </c>
      <c r="N180" s="81" t="n">
        <f aca="false">I180*'W Assumptions'!$D$55+I166*(1-'W Assumptions'!$D$55)</f>
        <v>1070.52631578947</v>
      </c>
      <c r="O180" s="81" t="n">
        <f aca="false">H180-I180-J180</f>
        <v>8800</v>
      </c>
    </row>
    <row r="181" customFormat="false" ht="21" hidden="false" customHeight="true" outlineLevel="0" collapsed="false">
      <c r="C181" s="144" t="n">
        <f aca="false">46631</f>
        <v>46631</v>
      </c>
      <c r="D181" s="81" t="n">
        <f aca="false">2</f>
        <v>2</v>
      </c>
      <c r="E181" s="81" t="str">
        <f aca="false">'W Programs'!C13</f>
        <v>WOO IP</v>
      </c>
      <c r="F181" s="81" t="str">
        <f aca="false">'W Programs'!D13</f>
        <v>Schools</v>
      </c>
      <c r="G181" s="145" t="n">
        <f aca="false">INDEX('W Programs'!$F$13:$H$13,1,D181)*INDEX('W Assumptions'!$D$7:$F$7,1,D181)*'W Assumptions'!E95/SUM('W Assumptions'!E$95:E$106)</f>
        <v>0.7</v>
      </c>
      <c r="H181" s="81" t="n">
        <f aca="false">G181*INDEX('W Programs'!$I$13:$K$13,1,D181)*INDEX('W Assumptions'!$D$12:$F$12,1,D181)</f>
        <v>119000</v>
      </c>
      <c r="I181" s="81" t="n">
        <f aca="false">H181*CHOOSE(D181,'W Programs'!L13,'W Programs'!Q13,'W Programs'!R13)*INDEX('W Assumptions'!$D$17:$F$17,1,D181)</f>
        <v>47600</v>
      </c>
      <c r="J181" s="81" t="n">
        <f aca="false">H181*'W Programs'!$M$13*'W Programs'!$O$13</f>
        <v>0</v>
      </c>
      <c r="K181" s="149" t="n">
        <f aca="false">'W Programs'!$N$13</f>
        <v>0.3</v>
      </c>
      <c r="L181" s="81" t="n">
        <f aca="false">H181*K181+H153*(1-K181)</f>
        <v>75931.5789473684</v>
      </c>
      <c r="M181" s="81" t="n">
        <f aca="false">L181*'W Programs'!$M$13*'W Programs'!$O$13</f>
        <v>0</v>
      </c>
      <c r="N181" s="81" t="n">
        <f aca="false">I181*'W Assumptions'!$D$55+I167*(1-'W Assumptions'!$D$55)</f>
        <v>42907.7894736842</v>
      </c>
      <c r="O181" s="81" t="n">
        <f aca="false">H181-I181-J181</f>
        <v>71400</v>
      </c>
    </row>
    <row r="182" customFormat="false" ht="21" hidden="false" customHeight="true" outlineLevel="0" collapsed="false">
      <c r="C182" s="144" t="n">
        <f aca="false">46631</f>
        <v>46631</v>
      </c>
      <c r="D182" s="81" t="n">
        <f aca="false">2</f>
        <v>2</v>
      </c>
      <c r="E182" s="81" t="str">
        <f aca="false">'W Programs'!C14</f>
        <v>WOO IP</v>
      </c>
      <c r="F182" s="81" t="str">
        <f aca="false">'W Programs'!D14</f>
        <v>Activations</v>
      </c>
      <c r="G182" s="145" t="n">
        <f aca="false">INDEX('W Programs'!$F$14:$H$14,1,D182)*INDEX('W Assumptions'!$D$7:$F$7,1,D182)*'W Assumptions'!E95/SUM('W Assumptions'!E$95:E$106)</f>
        <v>0.9</v>
      </c>
      <c r="H182" s="81" t="n">
        <f aca="false">G182*INDEX('W Programs'!$I$14:$K$14,1,D182)*INDEX('W Assumptions'!$D$12:$F$12,1,D182)</f>
        <v>67500</v>
      </c>
      <c r="I182" s="81" t="n">
        <f aca="false">H182*CHOOSE(D182,'W Programs'!L14,'W Programs'!Q14,'W Programs'!R14)*INDEX('W Assumptions'!$D$17:$F$17,1,D182)</f>
        <v>35100</v>
      </c>
      <c r="J182" s="81" t="n">
        <f aca="false">H182*'W Programs'!$M$14*'W Programs'!$O$14</f>
        <v>0</v>
      </c>
      <c r="K182" s="149" t="n">
        <f aca="false">'W Programs'!$N$14</f>
        <v>0.3</v>
      </c>
      <c r="L182" s="81" t="n">
        <f aca="false">H182*K182+H154*(1-K182)</f>
        <v>45155.2631578947</v>
      </c>
      <c r="M182" s="81" t="n">
        <f aca="false">L182*'W Programs'!$M$14*'W Programs'!$O$14</f>
        <v>0</v>
      </c>
      <c r="N182" s="81" t="n">
        <f aca="false">I182*'W Assumptions'!$D$55+I168*(1-'W Assumptions'!$D$55)</f>
        <v>31993.6842105263</v>
      </c>
      <c r="O182" s="81" t="n">
        <f aca="false">H182-I182-J182</f>
        <v>32400</v>
      </c>
    </row>
    <row r="183" customFormat="false" ht="21" hidden="false" customHeight="true" outlineLevel="0" collapsed="false">
      <c r="C183" s="144" t="n">
        <f aca="false">46631</f>
        <v>46631</v>
      </c>
      <c r="D183" s="81" t="n">
        <f aca="false">2</f>
        <v>2</v>
      </c>
      <c r="E183" s="81" t="str">
        <f aca="false">'W Programs'!C15</f>
        <v>WOO IP</v>
      </c>
      <c r="F183" s="81" t="str">
        <f aca="false">'W Programs'!D15</f>
        <v>Workshops</v>
      </c>
      <c r="G183" s="145" t="n">
        <f aca="false">INDEX('W Programs'!$F$15:$H$15,1,D183)*INDEX('W Assumptions'!$D$7:$F$7,1,D183)*'W Assumptions'!E95/SUM('W Assumptions'!E$95:E$106)</f>
        <v>8</v>
      </c>
      <c r="H183" s="81" t="n">
        <f aca="false">G183*INDEX('W Programs'!$I$15:$K$15,1,D183)*INDEX('W Assumptions'!$D$12:$F$12,1,D183)</f>
        <v>40000</v>
      </c>
      <c r="I183" s="81" t="n">
        <f aca="false">H183*CHOOSE(D183,'W Programs'!L15,'W Programs'!Q15,'W Programs'!R15)*INDEX('W Assumptions'!$D$17:$F$17,1,D183)</f>
        <v>16800</v>
      </c>
      <c r="J183" s="81" t="n">
        <f aca="false">H183*'W Programs'!$M$15*'W Programs'!$O$15</f>
        <v>0</v>
      </c>
      <c r="K183" s="149" t="n">
        <f aca="false">'W Programs'!$N$15</f>
        <v>0.7</v>
      </c>
      <c r="L183" s="81" t="n">
        <f aca="false">H183*K183+H155*(1-K183)</f>
        <v>35389.4736842105</v>
      </c>
      <c r="M183" s="81" t="n">
        <f aca="false">L183*'W Programs'!$M$15*'W Programs'!$O$15</f>
        <v>0</v>
      </c>
      <c r="N183" s="81" t="n">
        <f aca="false">I183*'W Assumptions'!$D$55+I169*(1-'W Assumptions'!$D$55)</f>
        <v>15656.8421052632</v>
      </c>
      <c r="O183" s="81" t="n">
        <f aca="false">H183-I183-J183</f>
        <v>23200</v>
      </c>
    </row>
    <row r="184" customFormat="false" ht="21" hidden="false" customHeight="true" outlineLevel="0" collapsed="false">
      <c r="C184" s="144" t="n">
        <f aca="false">46631</f>
        <v>46631</v>
      </c>
      <c r="D184" s="81" t="n">
        <f aca="false">2</f>
        <v>2</v>
      </c>
      <c r="E184" s="81" t="str">
        <f aca="false">'W Programs'!C16</f>
        <v>WOO IP</v>
      </c>
      <c r="F184" s="81" t="str">
        <f aca="false">'W Programs'!D16</f>
        <v>Installations</v>
      </c>
      <c r="G184" s="145" t="n">
        <f aca="false">INDEX('W Programs'!$F$16:$H$16,1,D184)*INDEX('W Assumptions'!$D$7:$F$7,1,D184)*'W Assumptions'!E95/SUM('W Assumptions'!E$95:E$106)</f>
        <v>0.15</v>
      </c>
      <c r="H184" s="81" t="n">
        <f aca="false">G184*INDEX('W Programs'!$I$16:$K$16,1,D184)*INDEX('W Assumptions'!$D$12:$F$12,1,D184)</f>
        <v>45000</v>
      </c>
      <c r="I184" s="81" t="n">
        <f aca="false">H184*CHOOSE(D184,'W Programs'!L16,'W Programs'!Q16,'W Programs'!R16)*INDEX('W Assumptions'!$D$17:$F$17,1,D184)</f>
        <v>27000</v>
      </c>
      <c r="J184" s="81" t="n">
        <f aca="false">H184*'W Programs'!$M$16*'W Programs'!$O$16</f>
        <v>0</v>
      </c>
      <c r="K184" s="149" t="n">
        <f aca="false">'W Programs'!$N$16</f>
        <v>0.3</v>
      </c>
      <c r="L184" s="81" t="n">
        <f aca="false">H184*K184+H156*(1-K184)</f>
        <v>25473.6842105263</v>
      </c>
      <c r="M184" s="81" t="n">
        <f aca="false">L184*'W Programs'!$M$16*'W Programs'!$O$16</f>
        <v>0</v>
      </c>
      <c r="N184" s="81" t="n">
        <f aca="false">I184*'W Assumptions'!$D$55+I170*(1-'W Assumptions'!$D$55)</f>
        <v>23823.6842105263</v>
      </c>
      <c r="O184" s="81" t="n">
        <f aca="false">H184-I184-J184</f>
        <v>18000</v>
      </c>
    </row>
    <row r="185" customFormat="false" ht="21" hidden="false" customHeight="true" outlineLevel="0" collapsed="false">
      <c r="C185" s="144" t="n">
        <f aca="false">46631</f>
        <v>46631</v>
      </c>
      <c r="D185" s="81" t="n">
        <f aca="false">2</f>
        <v>2</v>
      </c>
      <c r="E185" s="81" t="str">
        <f aca="false">'W Programs'!C17</f>
        <v>WOO IP</v>
      </c>
      <c r="F185" s="81" t="str">
        <f aca="false">'W Programs'!D17</f>
        <v>Digital</v>
      </c>
      <c r="G185" s="145" t="n">
        <f aca="false">INDEX('W Programs'!$F$17:$H$17,1,D185)*INDEX('W Assumptions'!$D$7:$F$7,1,D185)*'W Assumptions'!E95/SUM('W Assumptions'!E$95:E$106)</f>
        <v>75</v>
      </c>
      <c r="H185" s="81" t="n">
        <f aca="false">G185*INDEX('W Programs'!$I$17:$K$17,1,D185)*INDEX('W Assumptions'!$D$12:$F$12,1,D185)</f>
        <v>26250</v>
      </c>
      <c r="I185" s="81" t="n">
        <f aca="false">H185*CHOOSE(D185,'W Programs'!L17,'W Programs'!Q17,'W Programs'!R17)*INDEX('W Assumptions'!$D$17:$F$17,1,D185)</f>
        <v>4725</v>
      </c>
      <c r="J185" s="81" t="n">
        <f aca="false">H185*'W Programs'!$M$17*'W Programs'!$O$17</f>
        <v>0</v>
      </c>
      <c r="K185" s="149" t="n">
        <f aca="false">'W Programs'!$N$17</f>
        <v>1</v>
      </c>
      <c r="L185" s="81" t="n">
        <f aca="false">H185*K185+H157*(1-K185)</f>
        <v>26250</v>
      </c>
      <c r="M185" s="81" t="n">
        <f aca="false">L185*'W Programs'!$M$17*'W Programs'!$O$17</f>
        <v>0</v>
      </c>
      <c r="N185" s="81" t="n">
        <f aca="false">I185*'W Assumptions'!$D$55+I171*(1-'W Assumptions'!$D$55)</f>
        <v>4163.15789473684</v>
      </c>
      <c r="O185" s="81" t="n">
        <f aca="false">H185-I185-J185</f>
        <v>21525</v>
      </c>
    </row>
    <row r="186" customFormat="false" ht="21" hidden="false" customHeight="true" outlineLevel="0" collapsed="false">
      <c r="C186" s="144" t="n">
        <f aca="false">46631</f>
        <v>46631</v>
      </c>
      <c r="D186" s="81" t="n">
        <f aca="false">2</f>
        <v>2</v>
      </c>
      <c r="E186" s="81" t="str">
        <f aca="false">'W Programs'!C18</f>
        <v>WOO IP</v>
      </c>
      <c r="F186" s="81" t="str">
        <f aca="false">'W Programs'!D18</f>
        <v>Retail</v>
      </c>
      <c r="G186" s="145" t="n">
        <f aca="false">INDEX('W Programs'!$F$18:$H$18,1,D186)*INDEX('W Assumptions'!$D$7:$F$7,1,D186)*'W Assumptions'!E95/SUM('W Assumptions'!E$95:E$106)</f>
        <v>200</v>
      </c>
      <c r="H186" s="81" t="n">
        <f aca="false">G186*INDEX('W Programs'!$I$18:$K$18,1,D186)*INDEX('W Assumptions'!$D$12:$F$12,1,D186)</f>
        <v>50000</v>
      </c>
      <c r="I186" s="81" t="n">
        <f aca="false">H186*CHOOSE(D186,'W Programs'!L18,'W Programs'!Q18,'W Programs'!R18)*INDEX('W Assumptions'!$D$17:$F$17,1,D186)</f>
        <v>25000</v>
      </c>
      <c r="J186" s="81" t="n">
        <f aca="false">H186*'W Programs'!$M$18*'W Programs'!$O$18</f>
        <v>0</v>
      </c>
      <c r="K186" s="149" t="n">
        <f aca="false">'W Programs'!$N$18</f>
        <v>1</v>
      </c>
      <c r="L186" s="81" t="n">
        <f aca="false">H186*K186+H158*(1-K186)</f>
        <v>50000</v>
      </c>
      <c r="M186" s="81" t="n">
        <f aca="false">L186*'W Programs'!$M$18*'W Programs'!$O$18</f>
        <v>0</v>
      </c>
      <c r="N186" s="81" t="n">
        <f aca="false">I186*'W Assumptions'!$D$55+I172*(1-'W Assumptions'!$D$55)</f>
        <v>22167.5789473684</v>
      </c>
      <c r="O186" s="81" t="n">
        <f aca="false">H186-I186-J186</f>
        <v>25000</v>
      </c>
    </row>
    <row r="187" customFormat="false" ht="21" hidden="false" customHeight="true" outlineLevel="0" collapsed="false">
      <c r="C187" s="144" t="n">
        <f aca="false">46631</f>
        <v>46631</v>
      </c>
      <c r="D187" s="81" t="n">
        <f aca="false">2</f>
        <v>2</v>
      </c>
      <c r="E187" s="81" t="str">
        <f aca="false">'W Programs'!C19</f>
        <v>WOO IP</v>
      </c>
      <c r="F187" s="81" t="str">
        <f aca="false">'W Programs'!D19</f>
        <v>Licensing</v>
      </c>
      <c r="G187" s="145" t="n">
        <f aca="false">INDEX('W Programs'!$F$19:$H$19,1,D187)*INDEX('W Assumptions'!$D$7:$F$7,1,D187)*'W Assumptions'!E95/SUM('W Assumptions'!E$95:E$106)</f>
        <v>0.05</v>
      </c>
      <c r="H187" s="81" t="n">
        <f aca="false">G187*INDEX('W Programs'!$I$19:$K$19,1,D187)*INDEX('W Assumptions'!$D$12:$F$12,1,D187)</f>
        <v>15000</v>
      </c>
      <c r="I187" s="81" t="n">
        <f aca="false">H187*CHOOSE(D187,'W Programs'!L19,'W Programs'!Q19,'W Programs'!R19)*INDEX('W Assumptions'!$D$17:$F$17,1,D187)</f>
        <v>1800</v>
      </c>
      <c r="J187" s="81" t="n">
        <f aca="false">H187*'W Programs'!$M$19*'W Programs'!$O$19</f>
        <v>0</v>
      </c>
      <c r="K187" s="149" t="n">
        <f aca="false">'W Programs'!$N$19</f>
        <v>0.3</v>
      </c>
      <c r="L187" s="81" t="n">
        <f aca="false">H187*K187+H159*(1-K187)</f>
        <v>9289.47368421053</v>
      </c>
      <c r="M187" s="81" t="n">
        <f aca="false">L187*'W Programs'!$M$19*'W Programs'!$O$19</f>
        <v>0</v>
      </c>
      <c r="N187" s="81" t="n">
        <f aca="false">I187*'W Assumptions'!$D$55+I173*(1-'W Assumptions'!$D$55)</f>
        <v>1645.26315789474</v>
      </c>
      <c r="O187" s="81" t="n">
        <f aca="false">H187-I187-J187</f>
        <v>13200</v>
      </c>
    </row>
    <row r="188" customFormat="false" ht="21" hidden="false" customHeight="true" outlineLevel="0" collapsed="false">
      <c r="C188" s="144" t="n">
        <f aca="false">46661</f>
        <v>46661</v>
      </c>
      <c r="D188" s="81" t="n">
        <f aca="false">2</f>
        <v>2</v>
      </c>
      <c r="E188" s="81" t="str">
        <f aca="false">'W Programs'!C6</f>
        <v>TLI</v>
      </c>
      <c r="F188" s="81" t="str">
        <f aca="false">'W Programs'!D6</f>
        <v>Schools</v>
      </c>
      <c r="G188" s="145" t="n">
        <f aca="false">INDEX('W Programs'!$F$6:$H$6,1,D188)*INDEX('W Assumptions'!$D$7:$F$7,1,D188)*'W Assumptions'!E96/SUM('W Assumptions'!E$95:E$106)</f>
        <v>0.466666666666667</v>
      </c>
      <c r="H188" s="81" t="n">
        <f aca="false">G188*INDEX('W Programs'!$I$6:$K$6,1,D188)*INDEX('W Assumptions'!$D$12:$F$12,1,D188)</f>
        <v>79333.3333333333</v>
      </c>
      <c r="I188" s="81" t="n">
        <f aca="false">H188*CHOOSE(D188,'W Programs'!L6,'W Programs'!Q6,'W Programs'!R6)*INDEX('W Assumptions'!$D$17:$F$17,1,D188)</f>
        <v>31733.3333333333</v>
      </c>
      <c r="J188" s="81" t="n">
        <f aca="false">H188*'W Programs'!$M$6*'W Programs'!$O$6</f>
        <v>0</v>
      </c>
      <c r="K188" s="149" t="n">
        <f aca="false">'W Programs'!$N$6</f>
        <v>0.3</v>
      </c>
      <c r="L188" s="81" t="n">
        <f aca="false">H188*K188+H160*(1-K188)</f>
        <v>45463.1578947368</v>
      </c>
      <c r="M188" s="81" t="n">
        <f aca="false">L188*'W Programs'!$M$6*'W Programs'!$O$6</f>
        <v>0</v>
      </c>
      <c r="N188" s="81" t="n">
        <f aca="false">I188*'W Assumptions'!$D$55+I174*(1-'W Assumptions'!$D$55)</f>
        <v>31733.3333333333</v>
      </c>
      <c r="O188" s="81" t="n">
        <f aca="false">H188-I188-J188</f>
        <v>47600</v>
      </c>
    </row>
    <row r="189" customFormat="false" ht="21" hidden="false" customHeight="true" outlineLevel="0" collapsed="false">
      <c r="C189" s="144" t="n">
        <f aca="false">46661</f>
        <v>46661</v>
      </c>
      <c r="D189" s="81" t="n">
        <f aca="false">2</f>
        <v>2</v>
      </c>
      <c r="E189" s="81" t="str">
        <f aca="false">'W Programs'!C7</f>
        <v>TLI</v>
      </c>
      <c r="F189" s="81" t="str">
        <f aca="false">'W Programs'!D7</f>
        <v>Activations</v>
      </c>
      <c r="G189" s="145" t="n">
        <f aca="false">INDEX('W Programs'!$F$7:$H$7,1,D189)*INDEX('W Assumptions'!$D$7:$F$7,1,D189)*'W Assumptions'!E96/SUM('W Assumptions'!E$95:E$106)</f>
        <v>0.6</v>
      </c>
      <c r="H189" s="81" t="n">
        <f aca="false">G189*INDEX('W Programs'!$I$7:$K$7,1,D189)*INDEX('W Assumptions'!$D$12:$F$12,1,D189)</f>
        <v>45000</v>
      </c>
      <c r="I189" s="81" t="n">
        <f aca="false">H189*CHOOSE(D189,'W Programs'!L7,'W Programs'!Q7,'W Programs'!R7)*INDEX('W Assumptions'!$D$17:$F$17,1,D189)</f>
        <v>23400</v>
      </c>
      <c r="J189" s="81" t="n">
        <f aca="false">H189*'W Programs'!$M$7*'W Programs'!$O$7</f>
        <v>0</v>
      </c>
      <c r="K189" s="149" t="n">
        <f aca="false">'W Programs'!$N$7</f>
        <v>0.3</v>
      </c>
      <c r="L189" s="81" t="n">
        <f aca="false">H189*K189+H161*(1-K189)</f>
        <v>26910.5263157895</v>
      </c>
      <c r="M189" s="81" t="n">
        <f aca="false">L189*'W Programs'!$M$7*'W Programs'!$O$7</f>
        <v>0</v>
      </c>
      <c r="N189" s="81" t="n">
        <f aca="false">I189*'W Assumptions'!$D$55+I175*(1-'W Assumptions'!$D$55)</f>
        <v>23400</v>
      </c>
      <c r="O189" s="81" t="n">
        <f aca="false">H189-I189-J189</f>
        <v>21600</v>
      </c>
    </row>
    <row r="190" customFormat="false" ht="21" hidden="false" customHeight="true" outlineLevel="0" collapsed="false">
      <c r="C190" s="144" t="n">
        <f aca="false">46661</f>
        <v>46661</v>
      </c>
      <c r="D190" s="81" t="n">
        <f aca="false">2</f>
        <v>2</v>
      </c>
      <c r="E190" s="81" t="str">
        <f aca="false">'W Programs'!C8</f>
        <v>TLI</v>
      </c>
      <c r="F190" s="81" t="str">
        <f aca="false">'W Programs'!D8</f>
        <v>Workshops</v>
      </c>
      <c r="G190" s="145" t="n">
        <f aca="false">INDEX('W Programs'!$F$8:$H$8,1,D190)*INDEX('W Assumptions'!$D$7:$F$7,1,D190)*'W Assumptions'!E96/SUM('W Assumptions'!E$95:E$106)</f>
        <v>5.33333333333333</v>
      </c>
      <c r="H190" s="81" t="n">
        <f aca="false">G190*INDEX('W Programs'!$I$8:$K$8,1,D190)*INDEX('W Assumptions'!$D$12:$F$12,1,D190)</f>
        <v>26666.6666666667</v>
      </c>
      <c r="I190" s="81" t="n">
        <f aca="false">H190*CHOOSE(D190,'W Programs'!L8,'W Programs'!Q8,'W Programs'!R8)*INDEX('W Assumptions'!$D$17:$F$17,1,D190)</f>
        <v>11200</v>
      </c>
      <c r="J190" s="81" t="n">
        <f aca="false">H190*'W Programs'!$M$8*'W Programs'!$O$8</f>
        <v>0</v>
      </c>
      <c r="K190" s="149" t="n">
        <f aca="false">'W Programs'!$N$8</f>
        <v>0.7</v>
      </c>
      <c r="L190" s="81" t="n">
        <f aca="false">H190*K190+H162*(1-K190)</f>
        <v>22645.6140350877</v>
      </c>
      <c r="M190" s="81" t="n">
        <f aca="false">L190*'W Programs'!$M$8*'W Programs'!$O$8</f>
        <v>0</v>
      </c>
      <c r="N190" s="81" t="n">
        <f aca="false">I190*'W Assumptions'!$D$55+I176*(1-'W Assumptions'!$D$55)</f>
        <v>11200</v>
      </c>
      <c r="O190" s="81" t="n">
        <f aca="false">H190-I190-J190</f>
        <v>15466.6666666667</v>
      </c>
    </row>
    <row r="191" customFormat="false" ht="21" hidden="false" customHeight="true" outlineLevel="0" collapsed="false">
      <c r="C191" s="144" t="n">
        <f aca="false">46661</f>
        <v>46661</v>
      </c>
      <c r="D191" s="81" t="n">
        <f aca="false">2</f>
        <v>2</v>
      </c>
      <c r="E191" s="81" t="str">
        <f aca="false">'W Programs'!C9</f>
        <v>TLI</v>
      </c>
      <c r="F191" s="81" t="str">
        <f aca="false">'W Programs'!D9</f>
        <v>Installations</v>
      </c>
      <c r="G191" s="145" t="n">
        <f aca="false">INDEX('W Programs'!$F$9:$H$9,1,D191)*INDEX('W Assumptions'!$D$7:$F$7,1,D191)*'W Assumptions'!E96/SUM('W Assumptions'!E$95:E$106)</f>
        <v>0.1</v>
      </c>
      <c r="H191" s="81" t="n">
        <f aca="false">G191*INDEX('W Programs'!$I$9:$K$9,1,D191)*INDEX('W Assumptions'!$D$12:$F$12,1,D191)</f>
        <v>30000</v>
      </c>
      <c r="I191" s="81" t="n">
        <f aca="false">H191*CHOOSE(D191,'W Programs'!L9,'W Programs'!Q9,'W Programs'!R9)*INDEX('W Assumptions'!$D$17:$F$17,1,D191)</f>
        <v>18000</v>
      </c>
      <c r="J191" s="81" t="n">
        <f aca="false">H191*'W Programs'!$M$9*'W Programs'!$O$9</f>
        <v>0</v>
      </c>
      <c r="K191" s="149" t="n">
        <f aca="false">'W Programs'!$N$9</f>
        <v>0.3</v>
      </c>
      <c r="L191" s="81" t="n">
        <f aca="false">H191*K191+H163*(1-K191)</f>
        <v>15447.3684210526</v>
      </c>
      <c r="M191" s="81" t="n">
        <f aca="false">L191*'W Programs'!$M$9*'W Programs'!$O$9</f>
        <v>0</v>
      </c>
      <c r="N191" s="81" t="n">
        <f aca="false">I191*'W Assumptions'!$D$55+I177*(1-'W Assumptions'!$D$55)</f>
        <v>18000</v>
      </c>
      <c r="O191" s="81" t="n">
        <f aca="false">H191-I191-J191</f>
        <v>12000</v>
      </c>
    </row>
    <row r="192" customFormat="false" ht="21" hidden="false" customHeight="true" outlineLevel="0" collapsed="false">
      <c r="C192" s="144" t="n">
        <f aca="false">46661</f>
        <v>46661</v>
      </c>
      <c r="D192" s="81" t="n">
        <f aca="false">2</f>
        <v>2</v>
      </c>
      <c r="E192" s="81" t="str">
        <f aca="false">'W Programs'!C10</f>
        <v>TLI</v>
      </c>
      <c r="F192" s="81" t="str">
        <f aca="false">'W Programs'!D10</f>
        <v>Digital</v>
      </c>
      <c r="G192" s="145" t="n">
        <f aca="false">INDEX('W Programs'!$F$10:$H$10,1,D192)*INDEX('W Assumptions'!$D$7:$F$7,1,D192)*'W Assumptions'!E96/SUM('W Assumptions'!E$95:E$106)</f>
        <v>50</v>
      </c>
      <c r="H192" s="81" t="n">
        <f aca="false">G192*INDEX('W Programs'!$I$10:$K$10,1,D192)*INDEX('W Assumptions'!$D$12:$F$12,1,D192)</f>
        <v>17500</v>
      </c>
      <c r="I192" s="81" t="n">
        <f aca="false">H192*CHOOSE(D192,'W Programs'!L10,'W Programs'!Q10,'W Programs'!R10)*INDEX('W Assumptions'!$D$17:$F$17,1,D192)</f>
        <v>3150</v>
      </c>
      <c r="J192" s="81" t="n">
        <f aca="false">H192*'W Programs'!$M$10*'W Programs'!$O$10</f>
        <v>0</v>
      </c>
      <c r="K192" s="149" t="n">
        <f aca="false">'W Programs'!$N$10</f>
        <v>1</v>
      </c>
      <c r="L192" s="81" t="n">
        <f aca="false">H192*K192+H164*(1-K192)</f>
        <v>17500</v>
      </c>
      <c r="M192" s="81" t="n">
        <f aca="false">L192*'W Programs'!$M$10*'W Programs'!$O$10</f>
        <v>0</v>
      </c>
      <c r="N192" s="81" t="n">
        <f aca="false">I192*'W Assumptions'!$D$55+I178*(1-'W Assumptions'!$D$55)</f>
        <v>3150</v>
      </c>
      <c r="O192" s="81" t="n">
        <f aca="false">H192-I192-J192</f>
        <v>14350</v>
      </c>
    </row>
    <row r="193" customFormat="false" ht="21" hidden="false" customHeight="true" outlineLevel="0" collapsed="false">
      <c r="C193" s="144" t="n">
        <f aca="false">46661</f>
        <v>46661</v>
      </c>
      <c r="D193" s="81" t="n">
        <f aca="false">2</f>
        <v>2</v>
      </c>
      <c r="E193" s="81" t="str">
        <f aca="false">'W Programs'!C11</f>
        <v>TLI</v>
      </c>
      <c r="F193" s="81" t="str">
        <f aca="false">'W Programs'!D11</f>
        <v>Retail</v>
      </c>
      <c r="G193" s="145" t="n">
        <f aca="false">INDEX('W Programs'!$F$11:$H$11,1,D193)*INDEX('W Assumptions'!$D$7:$F$7,1,D193)*'W Assumptions'!E96/SUM('W Assumptions'!E$95:E$106)</f>
        <v>133.333333333333</v>
      </c>
      <c r="H193" s="81" t="n">
        <f aca="false">G193*INDEX('W Programs'!$I$11:$K$11,1,D193)*INDEX('W Assumptions'!$D$12:$F$12,1,D193)</f>
        <v>33333.3333333333</v>
      </c>
      <c r="I193" s="81" t="n">
        <f aca="false">H193*CHOOSE(D193,'W Programs'!L11,'W Programs'!Q11,'W Programs'!R11)*INDEX('W Assumptions'!$D$17:$F$17,1,D193)</f>
        <v>16666.6666666667</v>
      </c>
      <c r="J193" s="81" t="n">
        <f aca="false">H193*'W Programs'!$M$11*'W Programs'!$O$11</f>
        <v>0</v>
      </c>
      <c r="K193" s="149" t="n">
        <f aca="false">'W Programs'!$N$11</f>
        <v>1</v>
      </c>
      <c r="L193" s="81" t="n">
        <f aca="false">H193*K193+H165*(1-K193)</f>
        <v>33333.3333333333</v>
      </c>
      <c r="M193" s="81" t="n">
        <f aca="false">L193*'W Programs'!$M$11*'W Programs'!$O$11</f>
        <v>0</v>
      </c>
      <c r="N193" s="81" t="n">
        <f aca="false">I193*'W Assumptions'!$D$55+I179*(1-'W Assumptions'!$D$55)</f>
        <v>16666.6666666667</v>
      </c>
      <c r="O193" s="81" t="n">
        <f aca="false">H193-I193-J193</f>
        <v>16666.6666666667</v>
      </c>
    </row>
    <row r="194" customFormat="false" ht="21" hidden="false" customHeight="true" outlineLevel="0" collapsed="false">
      <c r="C194" s="144" t="n">
        <f aca="false">46661</f>
        <v>46661</v>
      </c>
      <c r="D194" s="81" t="n">
        <f aca="false">2</f>
        <v>2</v>
      </c>
      <c r="E194" s="81" t="str">
        <f aca="false">'W Programs'!C12</f>
        <v>TLI</v>
      </c>
      <c r="F194" s="81" t="str">
        <f aca="false">'W Programs'!D12</f>
        <v>Licensing</v>
      </c>
      <c r="G194" s="145" t="n">
        <f aca="false">INDEX('W Programs'!$F$12:$H$12,1,D194)*INDEX('W Assumptions'!$D$7:$F$7,1,D194)*'W Assumptions'!E96/SUM('W Assumptions'!E$95:E$106)</f>
        <v>0.0333333333333333</v>
      </c>
      <c r="H194" s="81" t="n">
        <f aca="false">G194*INDEX('W Programs'!$I$12:$K$12,1,D194)*INDEX('W Assumptions'!$D$12:$F$12,1,D194)</f>
        <v>10000</v>
      </c>
      <c r="I194" s="81" t="n">
        <f aca="false">H194*CHOOSE(D194,'W Programs'!L12,'W Programs'!Q12,'W Programs'!R12)*INDEX('W Assumptions'!$D$17:$F$17,1,D194)</f>
        <v>1200</v>
      </c>
      <c r="J194" s="81" t="n">
        <f aca="false">H194*'W Programs'!$M$12*'W Programs'!$O$12</f>
        <v>0</v>
      </c>
      <c r="K194" s="149" t="n">
        <f aca="false">'W Programs'!$N$12</f>
        <v>0.3</v>
      </c>
      <c r="L194" s="81" t="n">
        <f aca="false">H194*K194+H166*(1-K194)</f>
        <v>5578.94736842105</v>
      </c>
      <c r="M194" s="81" t="n">
        <f aca="false">L194*'W Programs'!$M$12*'W Programs'!$O$12</f>
        <v>0</v>
      </c>
      <c r="N194" s="81" t="n">
        <f aca="false">I194*'W Assumptions'!$D$55+I180*(1-'W Assumptions'!$D$55)</f>
        <v>1200</v>
      </c>
      <c r="O194" s="81" t="n">
        <f aca="false">H194-I194-J194</f>
        <v>8800</v>
      </c>
    </row>
    <row r="195" customFormat="false" ht="21" hidden="false" customHeight="true" outlineLevel="0" collapsed="false">
      <c r="C195" s="144" t="n">
        <f aca="false">46661</f>
        <v>46661</v>
      </c>
      <c r="D195" s="81" t="n">
        <f aca="false">2</f>
        <v>2</v>
      </c>
      <c r="E195" s="81" t="str">
        <f aca="false">'W Programs'!C13</f>
        <v>WOO IP</v>
      </c>
      <c r="F195" s="81" t="str">
        <f aca="false">'W Programs'!D13</f>
        <v>Schools</v>
      </c>
      <c r="G195" s="145" t="n">
        <f aca="false">INDEX('W Programs'!$F$13:$H$13,1,D195)*INDEX('W Assumptions'!$D$7:$F$7,1,D195)*'W Assumptions'!E96/SUM('W Assumptions'!E$95:E$106)</f>
        <v>0.7</v>
      </c>
      <c r="H195" s="81" t="n">
        <f aca="false">G195*INDEX('W Programs'!$I$13:$K$13,1,D195)*INDEX('W Assumptions'!$D$12:$F$12,1,D195)</f>
        <v>119000</v>
      </c>
      <c r="I195" s="81" t="n">
        <f aca="false">H195*CHOOSE(D195,'W Programs'!L13,'W Programs'!Q13,'W Programs'!R13)*INDEX('W Assumptions'!$D$17:$F$17,1,D195)</f>
        <v>47600</v>
      </c>
      <c r="J195" s="81" t="n">
        <f aca="false">H195*'W Programs'!$M$13*'W Programs'!$O$13</f>
        <v>0</v>
      </c>
      <c r="K195" s="149" t="n">
        <f aca="false">'W Programs'!$N$13</f>
        <v>0.3</v>
      </c>
      <c r="L195" s="81" t="n">
        <f aca="false">H195*K195+H167*(1-K195)</f>
        <v>75931.5789473684</v>
      </c>
      <c r="M195" s="81" t="n">
        <f aca="false">L195*'W Programs'!$M$13*'W Programs'!$O$13</f>
        <v>0</v>
      </c>
      <c r="N195" s="81" t="n">
        <f aca="false">I195*'W Assumptions'!$D$55+I181*(1-'W Assumptions'!$D$55)</f>
        <v>47600</v>
      </c>
      <c r="O195" s="81" t="n">
        <f aca="false">H195-I195-J195</f>
        <v>71400</v>
      </c>
    </row>
    <row r="196" customFormat="false" ht="21" hidden="false" customHeight="true" outlineLevel="0" collapsed="false">
      <c r="C196" s="144" t="n">
        <f aca="false">46661</f>
        <v>46661</v>
      </c>
      <c r="D196" s="81" t="n">
        <f aca="false">2</f>
        <v>2</v>
      </c>
      <c r="E196" s="81" t="str">
        <f aca="false">'W Programs'!C14</f>
        <v>WOO IP</v>
      </c>
      <c r="F196" s="81" t="str">
        <f aca="false">'W Programs'!D14</f>
        <v>Activations</v>
      </c>
      <c r="G196" s="145" t="n">
        <f aca="false">INDEX('W Programs'!$F$14:$H$14,1,D196)*INDEX('W Assumptions'!$D$7:$F$7,1,D196)*'W Assumptions'!E96/SUM('W Assumptions'!E$95:E$106)</f>
        <v>0.9</v>
      </c>
      <c r="H196" s="81" t="n">
        <f aca="false">G196*INDEX('W Programs'!$I$14:$K$14,1,D196)*INDEX('W Assumptions'!$D$12:$F$12,1,D196)</f>
        <v>67500</v>
      </c>
      <c r="I196" s="81" t="n">
        <f aca="false">H196*CHOOSE(D196,'W Programs'!L14,'W Programs'!Q14,'W Programs'!R14)*INDEX('W Assumptions'!$D$17:$F$17,1,D196)</f>
        <v>35100</v>
      </c>
      <c r="J196" s="81" t="n">
        <f aca="false">H196*'W Programs'!$M$14*'W Programs'!$O$14</f>
        <v>0</v>
      </c>
      <c r="K196" s="149" t="n">
        <f aca="false">'W Programs'!$N$14</f>
        <v>0.3</v>
      </c>
      <c r="L196" s="81" t="n">
        <f aca="false">H196*K196+H168*(1-K196)</f>
        <v>45155.2631578947</v>
      </c>
      <c r="M196" s="81" t="n">
        <f aca="false">L196*'W Programs'!$M$14*'W Programs'!$O$14</f>
        <v>0</v>
      </c>
      <c r="N196" s="81" t="n">
        <f aca="false">I196*'W Assumptions'!$D$55+I182*(1-'W Assumptions'!$D$55)</f>
        <v>35100</v>
      </c>
      <c r="O196" s="81" t="n">
        <f aca="false">H196-I196-J196</f>
        <v>32400</v>
      </c>
    </row>
    <row r="197" customFormat="false" ht="21" hidden="false" customHeight="true" outlineLevel="0" collapsed="false">
      <c r="C197" s="144" t="n">
        <f aca="false">46661</f>
        <v>46661</v>
      </c>
      <c r="D197" s="81" t="n">
        <f aca="false">2</f>
        <v>2</v>
      </c>
      <c r="E197" s="81" t="str">
        <f aca="false">'W Programs'!C15</f>
        <v>WOO IP</v>
      </c>
      <c r="F197" s="81" t="str">
        <f aca="false">'W Programs'!D15</f>
        <v>Workshops</v>
      </c>
      <c r="G197" s="145" t="n">
        <f aca="false">INDEX('W Programs'!$F$15:$H$15,1,D197)*INDEX('W Assumptions'!$D$7:$F$7,1,D197)*'W Assumptions'!E96/SUM('W Assumptions'!E$95:E$106)</f>
        <v>8</v>
      </c>
      <c r="H197" s="81" t="n">
        <f aca="false">G197*INDEX('W Programs'!$I$15:$K$15,1,D197)*INDEX('W Assumptions'!$D$12:$F$12,1,D197)</f>
        <v>40000</v>
      </c>
      <c r="I197" s="81" t="n">
        <f aca="false">H197*CHOOSE(D197,'W Programs'!L15,'W Programs'!Q15,'W Programs'!R15)*INDEX('W Assumptions'!$D$17:$F$17,1,D197)</f>
        <v>16800</v>
      </c>
      <c r="J197" s="81" t="n">
        <f aca="false">H197*'W Programs'!$M$15*'W Programs'!$O$15</f>
        <v>0</v>
      </c>
      <c r="K197" s="149" t="n">
        <f aca="false">'W Programs'!$N$15</f>
        <v>0.7</v>
      </c>
      <c r="L197" s="81" t="n">
        <f aca="false">H197*K197+H169*(1-K197)</f>
        <v>35389.4736842105</v>
      </c>
      <c r="M197" s="81" t="n">
        <f aca="false">L197*'W Programs'!$M$15*'W Programs'!$O$15</f>
        <v>0</v>
      </c>
      <c r="N197" s="81" t="n">
        <f aca="false">I197*'W Assumptions'!$D$55+I183*(1-'W Assumptions'!$D$55)</f>
        <v>16800</v>
      </c>
      <c r="O197" s="81" t="n">
        <f aca="false">H197-I197-J197</f>
        <v>23200</v>
      </c>
    </row>
    <row r="198" customFormat="false" ht="21" hidden="false" customHeight="true" outlineLevel="0" collapsed="false">
      <c r="C198" s="144" t="n">
        <f aca="false">46661</f>
        <v>46661</v>
      </c>
      <c r="D198" s="81" t="n">
        <f aca="false">2</f>
        <v>2</v>
      </c>
      <c r="E198" s="81" t="str">
        <f aca="false">'W Programs'!C16</f>
        <v>WOO IP</v>
      </c>
      <c r="F198" s="81" t="str">
        <f aca="false">'W Programs'!D16</f>
        <v>Installations</v>
      </c>
      <c r="G198" s="145" t="n">
        <f aca="false">INDEX('W Programs'!$F$16:$H$16,1,D198)*INDEX('W Assumptions'!$D$7:$F$7,1,D198)*'W Assumptions'!E96/SUM('W Assumptions'!E$95:E$106)</f>
        <v>0.15</v>
      </c>
      <c r="H198" s="81" t="n">
        <f aca="false">G198*INDEX('W Programs'!$I$16:$K$16,1,D198)*INDEX('W Assumptions'!$D$12:$F$12,1,D198)</f>
        <v>45000</v>
      </c>
      <c r="I198" s="81" t="n">
        <f aca="false">H198*CHOOSE(D198,'W Programs'!L16,'W Programs'!Q16,'W Programs'!R16)*INDEX('W Assumptions'!$D$17:$F$17,1,D198)</f>
        <v>27000</v>
      </c>
      <c r="J198" s="81" t="n">
        <f aca="false">H198*'W Programs'!$M$16*'W Programs'!$O$16</f>
        <v>0</v>
      </c>
      <c r="K198" s="149" t="n">
        <f aca="false">'W Programs'!$N$16</f>
        <v>0.3</v>
      </c>
      <c r="L198" s="81" t="n">
        <f aca="false">H198*K198+H170*(1-K198)</f>
        <v>25473.6842105263</v>
      </c>
      <c r="M198" s="81" t="n">
        <f aca="false">L198*'W Programs'!$M$16*'W Programs'!$O$16</f>
        <v>0</v>
      </c>
      <c r="N198" s="81" t="n">
        <f aca="false">I198*'W Assumptions'!$D$55+I184*(1-'W Assumptions'!$D$55)</f>
        <v>27000</v>
      </c>
      <c r="O198" s="81" t="n">
        <f aca="false">H198-I198-J198</f>
        <v>18000</v>
      </c>
    </row>
    <row r="199" customFormat="false" ht="21" hidden="false" customHeight="true" outlineLevel="0" collapsed="false">
      <c r="C199" s="144" t="n">
        <f aca="false">46661</f>
        <v>46661</v>
      </c>
      <c r="D199" s="81" t="n">
        <f aca="false">2</f>
        <v>2</v>
      </c>
      <c r="E199" s="81" t="str">
        <f aca="false">'W Programs'!C17</f>
        <v>WOO IP</v>
      </c>
      <c r="F199" s="81" t="str">
        <f aca="false">'W Programs'!D17</f>
        <v>Digital</v>
      </c>
      <c r="G199" s="145" t="n">
        <f aca="false">INDEX('W Programs'!$F$17:$H$17,1,D199)*INDEX('W Assumptions'!$D$7:$F$7,1,D199)*'W Assumptions'!E96/SUM('W Assumptions'!E$95:E$106)</f>
        <v>75</v>
      </c>
      <c r="H199" s="81" t="n">
        <f aca="false">G199*INDEX('W Programs'!$I$17:$K$17,1,D199)*INDEX('W Assumptions'!$D$12:$F$12,1,D199)</f>
        <v>26250</v>
      </c>
      <c r="I199" s="81" t="n">
        <f aca="false">H199*CHOOSE(D199,'W Programs'!L17,'W Programs'!Q17,'W Programs'!R17)*INDEX('W Assumptions'!$D$17:$F$17,1,D199)</f>
        <v>4725</v>
      </c>
      <c r="J199" s="81" t="n">
        <f aca="false">H199*'W Programs'!$M$17*'W Programs'!$O$17</f>
        <v>0</v>
      </c>
      <c r="K199" s="149" t="n">
        <f aca="false">'W Programs'!$N$17</f>
        <v>1</v>
      </c>
      <c r="L199" s="81" t="n">
        <f aca="false">H199*K199+H171*(1-K199)</f>
        <v>26250</v>
      </c>
      <c r="M199" s="81" t="n">
        <f aca="false">L199*'W Programs'!$M$17*'W Programs'!$O$17</f>
        <v>0</v>
      </c>
      <c r="N199" s="81" t="n">
        <f aca="false">I199*'W Assumptions'!$D$55+I185*(1-'W Assumptions'!$D$55)</f>
        <v>4725</v>
      </c>
      <c r="O199" s="81" t="n">
        <f aca="false">H199-I199-J199</f>
        <v>21525</v>
      </c>
    </row>
    <row r="200" customFormat="false" ht="21" hidden="false" customHeight="true" outlineLevel="0" collapsed="false">
      <c r="C200" s="144" t="n">
        <f aca="false">46661</f>
        <v>46661</v>
      </c>
      <c r="D200" s="81" t="n">
        <f aca="false">2</f>
        <v>2</v>
      </c>
      <c r="E200" s="81" t="str">
        <f aca="false">'W Programs'!C18</f>
        <v>WOO IP</v>
      </c>
      <c r="F200" s="81" t="str">
        <f aca="false">'W Programs'!D18</f>
        <v>Retail</v>
      </c>
      <c r="G200" s="145" t="n">
        <f aca="false">INDEX('W Programs'!$F$18:$H$18,1,D200)*INDEX('W Assumptions'!$D$7:$F$7,1,D200)*'W Assumptions'!E96/SUM('W Assumptions'!E$95:E$106)</f>
        <v>200</v>
      </c>
      <c r="H200" s="81" t="n">
        <f aca="false">G200*INDEX('W Programs'!$I$18:$K$18,1,D200)*INDEX('W Assumptions'!$D$12:$F$12,1,D200)</f>
        <v>50000</v>
      </c>
      <c r="I200" s="81" t="n">
        <f aca="false">H200*CHOOSE(D200,'W Programs'!L18,'W Programs'!Q18,'W Programs'!R18)*INDEX('W Assumptions'!$D$17:$F$17,1,D200)</f>
        <v>25000</v>
      </c>
      <c r="J200" s="81" t="n">
        <f aca="false">H200*'W Programs'!$M$18*'W Programs'!$O$18</f>
        <v>0</v>
      </c>
      <c r="K200" s="149" t="n">
        <f aca="false">'W Programs'!$N$18</f>
        <v>1</v>
      </c>
      <c r="L200" s="81" t="n">
        <f aca="false">H200*K200+H172*(1-K200)</f>
        <v>50000</v>
      </c>
      <c r="M200" s="81" t="n">
        <f aca="false">L200*'W Programs'!$M$18*'W Programs'!$O$18</f>
        <v>0</v>
      </c>
      <c r="N200" s="81" t="n">
        <f aca="false">I200*'W Assumptions'!$D$55+I186*(1-'W Assumptions'!$D$55)</f>
        <v>25000</v>
      </c>
      <c r="O200" s="81" t="n">
        <f aca="false">H200-I200-J200</f>
        <v>25000</v>
      </c>
    </row>
    <row r="201" customFormat="false" ht="21" hidden="false" customHeight="true" outlineLevel="0" collapsed="false">
      <c r="C201" s="144" t="n">
        <f aca="false">46661</f>
        <v>46661</v>
      </c>
      <c r="D201" s="81" t="n">
        <f aca="false">2</f>
        <v>2</v>
      </c>
      <c r="E201" s="81" t="str">
        <f aca="false">'W Programs'!C19</f>
        <v>WOO IP</v>
      </c>
      <c r="F201" s="81" t="str">
        <f aca="false">'W Programs'!D19</f>
        <v>Licensing</v>
      </c>
      <c r="G201" s="145" t="n">
        <f aca="false">INDEX('W Programs'!$F$19:$H$19,1,D201)*INDEX('W Assumptions'!$D$7:$F$7,1,D201)*'W Assumptions'!E96/SUM('W Assumptions'!E$95:E$106)</f>
        <v>0.05</v>
      </c>
      <c r="H201" s="81" t="n">
        <f aca="false">G201*INDEX('W Programs'!$I$19:$K$19,1,D201)*INDEX('W Assumptions'!$D$12:$F$12,1,D201)</f>
        <v>15000</v>
      </c>
      <c r="I201" s="81" t="n">
        <f aca="false">H201*CHOOSE(D201,'W Programs'!L19,'W Programs'!Q19,'W Programs'!R19)*INDEX('W Assumptions'!$D$17:$F$17,1,D201)</f>
        <v>1800</v>
      </c>
      <c r="J201" s="81" t="n">
        <f aca="false">H201*'W Programs'!$M$19*'W Programs'!$O$19</f>
        <v>0</v>
      </c>
      <c r="K201" s="149" t="n">
        <f aca="false">'W Programs'!$N$19</f>
        <v>0.3</v>
      </c>
      <c r="L201" s="81" t="n">
        <f aca="false">H201*K201+H173*(1-K201)</f>
        <v>9289.47368421053</v>
      </c>
      <c r="M201" s="81" t="n">
        <f aca="false">L201*'W Programs'!$M$19*'W Programs'!$O$19</f>
        <v>0</v>
      </c>
      <c r="N201" s="81" t="n">
        <f aca="false">I201*'W Assumptions'!$D$55+I187*(1-'W Assumptions'!$D$55)</f>
        <v>1800</v>
      </c>
      <c r="O201" s="81" t="n">
        <f aca="false">H201-I201-J201</f>
        <v>13200</v>
      </c>
    </row>
    <row r="202" customFormat="false" ht="21" hidden="false" customHeight="true" outlineLevel="0" collapsed="false">
      <c r="C202" s="144" t="n">
        <f aca="false">46692</f>
        <v>46692</v>
      </c>
      <c r="D202" s="81" t="n">
        <f aca="false">2</f>
        <v>2</v>
      </c>
      <c r="E202" s="81" t="str">
        <f aca="false">'W Programs'!C6</f>
        <v>TLI</v>
      </c>
      <c r="F202" s="81" t="str">
        <f aca="false">'W Programs'!D6</f>
        <v>Schools</v>
      </c>
      <c r="G202" s="145" t="n">
        <f aca="false">INDEX('W Programs'!$F$6:$H$6,1,D202)*INDEX('W Assumptions'!$D$7:$F$7,1,D202)*'W Assumptions'!E97/SUM('W Assumptions'!E$95:E$106)</f>
        <v>0.466666666666667</v>
      </c>
      <c r="H202" s="81" t="n">
        <f aca="false">G202*INDEX('W Programs'!$I$6:$K$6,1,D202)*INDEX('W Assumptions'!$D$12:$F$12,1,D202)</f>
        <v>79333.3333333333</v>
      </c>
      <c r="I202" s="81" t="n">
        <f aca="false">H202*CHOOSE(D202,'W Programs'!L6,'W Programs'!Q6,'W Programs'!R6)*INDEX('W Assumptions'!$D$17:$F$17,1,D202)</f>
        <v>31733.3333333333</v>
      </c>
      <c r="J202" s="81" t="n">
        <f aca="false">H202*'W Programs'!$M$6*'W Programs'!$O$6</f>
        <v>0</v>
      </c>
      <c r="K202" s="149" t="n">
        <f aca="false">'W Programs'!$N$6</f>
        <v>0.3</v>
      </c>
      <c r="L202" s="81" t="n">
        <f aca="false">H202*K202+H174*(1-K202)</f>
        <v>79333.3333333333</v>
      </c>
      <c r="M202" s="81" t="n">
        <f aca="false">L202*'W Programs'!$M$6*'W Programs'!$O$6</f>
        <v>0</v>
      </c>
      <c r="N202" s="81" t="n">
        <f aca="false">I202*'W Assumptions'!$D$55+I188*(1-'W Assumptions'!$D$55)</f>
        <v>31733.3333333333</v>
      </c>
      <c r="O202" s="81" t="n">
        <f aca="false">H202-I202-J202</f>
        <v>47600</v>
      </c>
    </row>
    <row r="203" customFormat="false" ht="21" hidden="false" customHeight="true" outlineLevel="0" collapsed="false">
      <c r="C203" s="144" t="n">
        <f aca="false">46692</f>
        <v>46692</v>
      </c>
      <c r="D203" s="81" t="n">
        <f aca="false">2</f>
        <v>2</v>
      </c>
      <c r="E203" s="81" t="str">
        <f aca="false">'W Programs'!C7</f>
        <v>TLI</v>
      </c>
      <c r="F203" s="81" t="str">
        <f aca="false">'W Programs'!D7</f>
        <v>Activations</v>
      </c>
      <c r="G203" s="145" t="n">
        <f aca="false">INDEX('W Programs'!$F$7:$H$7,1,D203)*INDEX('W Assumptions'!$D$7:$F$7,1,D203)*'W Assumptions'!E97/SUM('W Assumptions'!E$95:E$106)</f>
        <v>0.6</v>
      </c>
      <c r="H203" s="81" t="n">
        <f aca="false">G203*INDEX('W Programs'!$I$7:$K$7,1,D203)*INDEX('W Assumptions'!$D$12:$F$12,1,D203)</f>
        <v>45000</v>
      </c>
      <c r="I203" s="81" t="n">
        <f aca="false">H203*CHOOSE(D203,'W Programs'!L7,'W Programs'!Q7,'W Programs'!R7)*INDEX('W Assumptions'!$D$17:$F$17,1,D203)</f>
        <v>23400</v>
      </c>
      <c r="J203" s="81" t="n">
        <f aca="false">H203*'W Programs'!$M$7*'W Programs'!$O$7</f>
        <v>0</v>
      </c>
      <c r="K203" s="149" t="n">
        <f aca="false">'W Programs'!$N$7</f>
        <v>0.3</v>
      </c>
      <c r="L203" s="81" t="n">
        <f aca="false">H203*K203+H175*(1-K203)</f>
        <v>45000</v>
      </c>
      <c r="M203" s="81" t="n">
        <f aca="false">L203*'W Programs'!$M$7*'W Programs'!$O$7</f>
        <v>0</v>
      </c>
      <c r="N203" s="81" t="n">
        <f aca="false">I203*'W Assumptions'!$D$55+I189*(1-'W Assumptions'!$D$55)</f>
        <v>23400</v>
      </c>
      <c r="O203" s="81" t="n">
        <f aca="false">H203-I203-J203</f>
        <v>21600</v>
      </c>
    </row>
    <row r="204" customFormat="false" ht="21" hidden="false" customHeight="true" outlineLevel="0" collapsed="false">
      <c r="C204" s="144" t="n">
        <f aca="false">46692</f>
        <v>46692</v>
      </c>
      <c r="D204" s="81" t="n">
        <f aca="false">2</f>
        <v>2</v>
      </c>
      <c r="E204" s="81" t="str">
        <f aca="false">'W Programs'!C8</f>
        <v>TLI</v>
      </c>
      <c r="F204" s="81" t="str">
        <f aca="false">'W Programs'!D8</f>
        <v>Workshops</v>
      </c>
      <c r="G204" s="145" t="n">
        <f aca="false">INDEX('W Programs'!$F$8:$H$8,1,D204)*INDEX('W Assumptions'!$D$7:$F$7,1,D204)*'W Assumptions'!E97/SUM('W Assumptions'!E$95:E$106)</f>
        <v>5.33333333333333</v>
      </c>
      <c r="H204" s="81" t="n">
        <f aca="false">G204*INDEX('W Programs'!$I$8:$K$8,1,D204)*INDEX('W Assumptions'!$D$12:$F$12,1,D204)</f>
        <v>26666.6666666667</v>
      </c>
      <c r="I204" s="81" t="n">
        <f aca="false">H204*CHOOSE(D204,'W Programs'!L8,'W Programs'!Q8,'W Programs'!R8)*INDEX('W Assumptions'!$D$17:$F$17,1,D204)</f>
        <v>11200</v>
      </c>
      <c r="J204" s="81" t="n">
        <f aca="false">H204*'W Programs'!$M$8*'W Programs'!$O$8</f>
        <v>0</v>
      </c>
      <c r="K204" s="149" t="n">
        <f aca="false">'W Programs'!$N$8</f>
        <v>0.7</v>
      </c>
      <c r="L204" s="81" t="n">
        <f aca="false">H204*K204+H176*(1-K204)</f>
        <v>26666.6666666667</v>
      </c>
      <c r="M204" s="81" t="n">
        <f aca="false">L204*'W Programs'!$M$8*'W Programs'!$O$8</f>
        <v>0</v>
      </c>
      <c r="N204" s="81" t="n">
        <f aca="false">I204*'W Assumptions'!$D$55+I190*(1-'W Assumptions'!$D$55)</f>
        <v>11200</v>
      </c>
      <c r="O204" s="81" t="n">
        <f aca="false">H204-I204-J204</f>
        <v>15466.6666666667</v>
      </c>
    </row>
    <row r="205" customFormat="false" ht="21" hidden="false" customHeight="true" outlineLevel="0" collapsed="false">
      <c r="C205" s="144" t="n">
        <f aca="false">46692</f>
        <v>46692</v>
      </c>
      <c r="D205" s="81" t="n">
        <f aca="false">2</f>
        <v>2</v>
      </c>
      <c r="E205" s="81" t="str">
        <f aca="false">'W Programs'!C9</f>
        <v>TLI</v>
      </c>
      <c r="F205" s="81" t="str">
        <f aca="false">'W Programs'!D9</f>
        <v>Installations</v>
      </c>
      <c r="G205" s="145" t="n">
        <f aca="false">INDEX('W Programs'!$F$9:$H$9,1,D205)*INDEX('W Assumptions'!$D$7:$F$7,1,D205)*'W Assumptions'!E97/SUM('W Assumptions'!E$95:E$106)</f>
        <v>0.1</v>
      </c>
      <c r="H205" s="81" t="n">
        <f aca="false">G205*INDEX('W Programs'!$I$9:$K$9,1,D205)*INDEX('W Assumptions'!$D$12:$F$12,1,D205)</f>
        <v>30000</v>
      </c>
      <c r="I205" s="81" t="n">
        <f aca="false">H205*CHOOSE(D205,'W Programs'!L9,'W Programs'!Q9,'W Programs'!R9)*INDEX('W Assumptions'!$D$17:$F$17,1,D205)</f>
        <v>18000</v>
      </c>
      <c r="J205" s="81" t="n">
        <f aca="false">H205*'W Programs'!$M$9*'W Programs'!$O$9</f>
        <v>0</v>
      </c>
      <c r="K205" s="149" t="n">
        <f aca="false">'W Programs'!$N$9</f>
        <v>0.3</v>
      </c>
      <c r="L205" s="81" t="n">
        <f aca="false">H205*K205+H177*(1-K205)</f>
        <v>30000</v>
      </c>
      <c r="M205" s="81" t="n">
        <f aca="false">L205*'W Programs'!$M$9*'W Programs'!$O$9</f>
        <v>0</v>
      </c>
      <c r="N205" s="81" t="n">
        <f aca="false">I205*'W Assumptions'!$D$55+I191*(1-'W Assumptions'!$D$55)</f>
        <v>18000</v>
      </c>
      <c r="O205" s="81" t="n">
        <f aca="false">H205-I205-J205</f>
        <v>12000</v>
      </c>
    </row>
    <row r="206" customFormat="false" ht="21" hidden="false" customHeight="true" outlineLevel="0" collapsed="false">
      <c r="C206" s="144" t="n">
        <f aca="false">46692</f>
        <v>46692</v>
      </c>
      <c r="D206" s="81" t="n">
        <f aca="false">2</f>
        <v>2</v>
      </c>
      <c r="E206" s="81" t="str">
        <f aca="false">'W Programs'!C10</f>
        <v>TLI</v>
      </c>
      <c r="F206" s="81" t="str">
        <f aca="false">'W Programs'!D10</f>
        <v>Digital</v>
      </c>
      <c r="G206" s="145" t="n">
        <f aca="false">INDEX('W Programs'!$F$10:$H$10,1,D206)*INDEX('W Assumptions'!$D$7:$F$7,1,D206)*'W Assumptions'!E97/SUM('W Assumptions'!E$95:E$106)</f>
        <v>50</v>
      </c>
      <c r="H206" s="81" t="n">
        <f aca="false">G206*INDEX('W Programs'!$I$10:$K$10,1,D206)*INDEX('W Assumptions'!$D$12:$F$12,1,D206)</f>
        <v>17500</v>
      </c>
      <c r="I206" s="81" t="n">
        <f aca="false">H206*CHOOSE(D206,'W Programs'!L10,'W Programs'!Q10,'W Programs'!R10)*INDEX('W Assumptions'!$D$17:$F$17,1,D206)</f>
        <v>3150</v>
      </c>
      <c r="J206" s="81" t="n">
        <f aca="false">H206*'W Programs'!$M$10*'W Programs'!$O$10</f>
        <v>0</v>
      </c>
      <c r="K206" s="149" t="n">
        <f aca="false">'W Programs'!$N$10</f>
        <v>1</v>
      </c>
      <c r="L206" s="81" t="n">
        <f aca="false">H206*K206+H178*(1-K206)</f>
        <v>17500</v>
      </c>
      <c r="M206" s="81" t="n">
        <f aca="false">L206*'W Programs'!$M$10*'W Programs'!$O$10</f>
        <v>0</v>
      </c>
      <c r="N206" s="81" t="n">
        <f aca="false">I206*'W Assumptions'!$D$55+I192*(1-'W Assumptions'!$D$55)</f>
        <v>3150</v>
      </c>
      <c r="O206" s="81" t="n">
        <f aca="false">H206-I206-J206</f>
        <v>14350</v>
      </c>
    </row>
    <row r="207" customFormat="false" ht="21" hidden="false" customHeight="true" outlineLevel="0" collapsed="false">
      <c r="C207" s="144" t="n">
        <f aca="false">46692</f>
        <v>46692</v>
      </c>
      <c r="D207" s="81" t="n">
        <f aca="false">2</f>
        <v>2</v>
      </c>
      <c r="E207" s="81" t="str">
        <f aca="false">'W Programs'!C11</f>
        <v>TLI</v>
      </c>
      <c r="F207" s="81" t="str">
        <f aca="false">'W Programs'!D11</f>
        <v>Retail</v>
      </c>
      <c r="G207" s="145" t="n">
        <f aca="false">INDEX('W Programs'!$F$11:$H$11,1,D207)*INDEX('W Assumptions'!$D$7:$F$7,1,D207)*'W Assumptions'!E97/SUM('W Assumptions'!E$95:E$106)</f>
        <v>133.333333333333</v>
      </c>
      <c r="H207" s="81" t="n">
        <f aca="false">G207*INDEX('W Programs'!$I$11:$K$11,1,D207)*INDEX('W Assumptions'!$D$12:$F$12,1,D207)</f>
        <v>33333.3333333333</v>
      </c>
      <c r="I207" s="81" t="n">
        <f aca="false">H207*CHOOSE(D207,'W Programs'!L11,'W Programs'!Q11,'W Programs'!R11)*INDEX('W Assumptions'!$D$17:$F$17,1,D207)</f>
        <v>16666.6666666667</v>
      </c>
      <c r="J207" s="81" t="n">
        <f aca="false">H207*'W Programs'!$M$11*'W Programs'!$O$11</f>
        <v>0</v>
      </c>
      <c r="K207" s="149" t="n">
        <f aca="false">'W Programs'!$N$11</f>
        <v>1</v>
      </c>
      <c r="L207" s="81" t="n">
        <f aca="false">H207*K207+H179*(1-K207)</f>
        <v>33333.3333333333</v>
      </c>
      <c r="M207" s="81" t="n">
        <f aca="false">L207*'W Programs'!$M$11*'W Programs'!$O$11</f>
        <v>0</v>
      </c>
      <c r="N207" s="81" t="n">
        <f aca="false">I207*'W Assumptions'!$D$55+I193*(1-'W Assumptions'!$D$55)</f>
        <v>16666.6666666667</v>
      </c>
      <c r="O207" s="81" t="n">
        <f aca="false">H207-I207-J207</f>
        <v>16666.6666666667</v>
      </c>
    </row>
    <row r="208" customFormat="false" ht="21" hidden="false" customHeight="true" outlineLevel="0" collapsed="false">
      <c r="C208" s="144" t="n">
        <f aca="false">46692</f>
        <v>46692</v>
      </c>
      <c r="D208" s="81" t="n">
        <f aca="false">2</f>
        <v>2</v>
      </c>
      <c r="E208" s="81" t="str">
        <f aca="false">'W Programs'!C12</f>
        <v>TLI</v>
      </c>
      <c r="F208" s="81" t="str">
        <f aca="false">'W Programs'!D12</f>
        <v>Licensing</v>
      </c>
      <c r="G208" s="145" t="n">
        <f aca="false">INDEX('W Programs'!$F$12:$H$12,1,D208)*INDEX('W Assumptions'!$D$7:$F$7,1,D208)*'W Assumptions'!E97/SUM('W Assumptions'!E$95:E$106)</f>
        <v>0.0333333333333333</v>
      </c>
      <c r="H208" s="81" t="n">
        <f aca="false">G208*INDEX('W Programs'!$I$12:$K$12,1,D208)*INDEX('W Assumptions'!$D$12:$F$12,1,D208)</f>
        <v>10000</v>
      </c>
      <c r="I208" s="81" t="n">
        <f aca="false">H208*CHOOSE(D208,'W Programs'!L12,'W Programs'!Q12,'W Programs'!R12)*INDEX('W Assumptions'!$D$17:$F$17,1,D208)</f>
        <v>1200</v>
      </c>
      <c r="J208" s="81" t="n">
        <f aca="false">H208*'W Programs'!$M$12*'W Programs'!$O$12</f>
        <v>0</v>
      </c>
      <c r="K208" s="149" t="n">
        <f aca="false">'W Programs'!$N$12</f>
        <v>0.3</v>
      </c>
      <c r="L208" s="81" t="n">
        <f aca="false">H208*K208+H180*(1-K208)</f>
        <v>10000</v>
      </c>
      <c r="M208" s="81" t="n">
        <f aca="false">L208*'W Programs'!$M$12*'W Programs'!$O$12</f>
        <v>0</v>
      </c>
      <c r="N208" s="81" t="n">
        <f aca="false">I208*'W Assumptions'!$D$55+I194*(1-'W Assumptions'!$D$55)</f>
        <v>1200</v>
      </c>
      <c r="O208" s="81" t="n">
        <f aca="false">H208-I208-J208</f>
        <v>8800</v>
      </c>
    </row>
    <row r="209" customFormat="false" ht="21" hidden="false" customHeight="true" outlineLevel="0" collapsed="false">
      <c r="C209" s="144" t="n">
        <f aca="false">46692</f>
        <v>46692</v>
      </c>
      <c r="D209" s="81" t="n">
        <f aca="false">2</f>
        <v>2</v>
      </c>
      <c r="E209" s="81" t="str">
        <f aca="false">'W Programs'!C13</f>
        <v>WOO IP</v>
      </c>
      <c r="F209" s="81" t="str">
        <f aca="false">'W Programs'!D13</f>
        <v>Schools</v>
      </c>
      <c r="G209" s="145" t="n">
        <f aca="false">INDEX('W Programs'!$F$13:$H$13,1,D209)*INDEX('W Assumptions'!$D$7:$F$7,1,D209)*'W Assumptions'!E97/SUM('W Assumptions'!E$95:E$106)</f>
        <v>0.7</v>
      </c>
      <c r="H209" s="81" t="n">
        <f aca="false">G209*INDEX('W Programs'!$I$13:$K$13,1,D209)*INDEX('W Assumptions'!$D$12:$F$12,1,D209)</f>
        <v>119000</v>
      </c>
      <c r="I209" s="81" t="n">
        <f aca="false">H209*CHOOSE(D209,'W Programs'!L13,'W Programs'!Q13,'W Programs'!R13)*INDEX('W Assumptions'!$D$17:$F$17,1,D209)</f>
        <v>47600</v>
      </c>
      <c r="J209" s="81" t="n">
        <f aca="false">H209*'W Programs'!$M$13*'W Programs'!$O$13</f>
        <v>0</v>
      </c>
      <c r="K209" s="149" t="n">
        <f aca="false">'W Programs'!$N$13</f>
        <v>0.3</v>
      </c>
      <c r="L209" s="81" t="n">
        <f aca="false">H209*K209+H181*(1-K209)</f>
        <v>119000</v>
      </c>
      <c r="M209" s="81" t="n">
        <f aca="false">L209*'W Programs'!$M$13*'W Programs'!$O$13</f>
        <v>0</v>
      </c>
      <c r="N209" s="81" t="n">
        <f aca="false">I209*'W Assumptions'!$D$55+I195*(1-'W Assumptions'!$D$55)</f>
        <v>47600</v>
      </c>
      <c r="O209" s="81" t="n">
        <f aca="false">H209-I209-J209</f>
        <v>71400</v>
      </c>
    </row>
    <row r="210" customFormat="false" ht="21" hidden="false" customHeight="true" outlineLevel="0" collapsed="false">
      <c r="C210" s="144" t="n">
        <f aca="false">46692</f>
        <v>46692</v>
      </c>
      <c r="D210" s="81" t="n">
        <f aca="false">2</f>
        <v>2</v>
      </c>
      <c r="E210" s="81" t="str">
        <f aca="false">'W Programs'!C14</f>
        <v>WOO IP</v>
      </c>
      <c r="F210" s="81" t="str">
        <f aca="false">'W Programs'!D14</f>
        <v>Activations</v>
      </c>
      <c r="G210" s="145" t="n">
        <f aca="false">INDEX('W Programs'!$F$14:$H$14,1,D210)*INDEX('W Assumptions'!$D$7:$F$7,1,D210)*'W Assumptions'!E97/SUM('W Assumptions'!E$95:E$106)</f>
        <v>0.9</v>
      </c>
      <c r="H210" s="81" t="n">
        <f aca="false">G210*INDEX('W Programs'!$I$14:$K$14,1,D210)*INDEX('W Assumptions'!$D$12:$F$12,1,D210)</f>
        <v>67500</v>
      </c>
      <c r="I210" s="81" t="n">
        <f aca="false">H210*CHOOSE(D210,'W Programs'!L14,'W Programs'!Q14,'W Programs'!R14)*INDEX('W Assumptions'!$D$17:$F$17,1,D210)</f>
        <v>35100</v>
      </c>
      <c r="J210" s="81" t="n">
        <f aca="false">H210*'W Programs'!$M$14*'W Programs'!$O$14</f>
        <v>0</v>
      </c>
      <c r="K210" s="149" t="n">
        <f aca="false">'W Programs'!$N$14</f>
        <v>0.3</v>
      </c>
      <c r="L210" s="81" t="n">
        <f aca="false">H210*K210+H182*(1-K210)</f>
        <v>67500</v>
      </c>
      <c r="M210" s="81" t="n">
        <f aca="false">L210*'W Programs'!$M$14*'W Programs'!$O$14</f>
        <v>0</v>
      </c>
      <c r="N210" s="81" t="n">
        <f aca="false">I210*'W Assumptions'!$D$55+I196*(1-'W Assumptions'!$D$55)</f>
        <v>35100</v>
      </c>
      <c r="O210" s="81" t="n">
        <f aca="false">H210-I210-J210</f>
        <v>32400</v>
      </c>
    </row>
    <row r="211" customFormat="false" ht="21" hidden="false" customHeight="true" outlineLevel="0" collapsed="false">
      <c r="C211" s="144" t="n">
        <f aca="false">46692</f>
        <v>46692</v>
      </c>
      <c r="D211" s="81" t="n">
        <f aca="false">2</f>
        <v>2</v>
      </c>
      <c r="E211" s="81" t="str">
        <f aca="false">'W Programs'!C15</f>
        <v>WOO IP</v>
      </c>
      <c r="F211" s="81" t="str">
        <f aca="false">'W Programs'!D15</f>
        <v>Workshops</v>
      </c>
      <c r="G211" s="145" t="n">
        <f aca="false">INDEX('W Programs'!$F$15:$H$15,1,D211)*INDEX('W Assumptions'!$D$7:$F$7,1,D211)*'W Assumptions'!E97/SUM('W Assumptions'!E$95:E$106)</f>
        <v>8</v>
      </c>
      <c r="H211" s="81" t="n">
        <f aca="false">G211*INDEX('W Programs'!$I$15:$K$15,1,D211)*INDEX('W Assumptions'!$D$12:$F$12,1,D211)</f>
        <v>40000</v>
      </c>
      <c r="I211" s="81" t="n">
        <f aca="false">H211*CHOOSE(D211,'W Programs'!L15,'W Programs'!Q15,'W Programs'!R15)*INDEX('W Assumptions'!$D$17:$F$17,1,D211)</f>
        <v>16800</v>
      </c>
      <c r="J211" s="81" t="n">
        <f aca="false">H211*'W Programs'!$M$15*'W Programs'!$O$15</f>
        <v>0</v>
      </c>
      <c r="K211" s="149" t="n">
        <f aca="false">'W Programs'!$N$15</f>
        <v>0.7</v>
      </c>
      <c r="L211" s="81" t="n">
        <f aca="false">H211*K211+H183*(1-K211)</f>
        <v>40000</v>
      </c>
      <c r="M211" s="81" t="n">
        <f aca="false">L211*'W Programs'!$M$15*'W Programs'!$O$15</f>
        <v>0</v>
      </c>
      <c r="N211" s="81" t="n">
        <f aca="false">I211*'W Assumptions'!$D$55+I197*(1-'W Assumptions'!$D$55)</f>
        <v>16800</v>
      </c>
      <c r="O211" s="81" t="n">
        <f aca="false">H211-I211-J211</f>
        <v>23200</v>
      </c>
    </row>
    <row r="212" customFormat="false" ht="21" hidden="false" customHeight="true" outlineLevel="0" collapsed="false">
      <c r="C212" s="144" t="n">
        <f aca="false">46692</f>
        <v>46692</v>
      </c>
      <c r="D212" s="81" t="n">
        <f aca="false">2</f>
        <v>2</v>
      </c>
      <c r="E212" s="81" t="str">
        <f aca="false">'W Programs'!C16</f>
        <v>WOO IP</v>
      </c>
      <c r="F212" s="81" t="str">
        <f aca="false">'W Programs'!D16</f>
        <v>Installations</v>
      </c>
      <c r="G212" s="145" t="n">
        <f aca="false">INDEX('W Programs'!$F$16:$H$16,1,D212)*INDEX('W Assumptions'!$D$7:$F$7,1,D212)*'W Assumptions'!E97/SUM('W Assumptions'!E$95:E$106)</f>
        <v>0.15</v>
      </c>
      <c r="H212" s="81" t="n">
        <f aca="false">G212*INDEX('W Programs'!$I$16:$K$16,1,D212)*INDEX('W Assumptions'!$D$12:$F$12,1,D212)</f>
        <v>45000</v>
      </c>
      <c r="I212" s="81" t="n">
        <f aca="false">H212*CHOOSE(D212,'W Programs'!L16,'W Programs'!Q16,'W Programs'!R16)*INDEX('W Assumptions'!$D$17:$F$17,1,D212)</f>
        <v>27000</v>
      </c>
      <c r="J212" s="81" t="n">
        <f aca="false">H212*'W Programs'!$M$16*'W Programs'!$O$16</f>
        <v>0</v>
      </c>
      <c r="K212" s="149" t="n">
        <f aca="false">'W Programs'!$N$16</f>
        <v>0.3</v>
      </c>
      <c r="L212" s="81" t="n">
        <f aca="false">H212*K212+H184*(1-K212)</f>
        <v>45000</v>
      </c>
      <c r="M212" s="81" t="n">
        <f aca="false">L212*'W Programs'!$M$16*'W Programs'!$O$16</f>
        <v>0</v>
      </c>
      <c r="N212" s="81" t="n">
        <f aca="false">I212*'W Assumptions'!$D$55+I198*(1-'W Assumptions'!$D$55)</f>
        <v>27000</v>
      </c>
      <c r="O212" s="81" t="n">
        <f aca="false">H212-I212-J212</f>
        <v>18000</v>
      </c>
    </row>
    <row r="213" customFormat="false" ht="21" hidden="false" customHeight="true" outlineLevel="0" collapsed="false">
      <c r="C213" s="144" t="n">
        <f aca="false">46692</f>
        <v>46692</v>
      </c>
      <c r="D213" s="81" t="n">
        <f aca="false">2</f>
        <v>2</v>
      </c>
      <c r="E213" s="81" t="str">
        <f aca="false">'W Programs'!C17</f>
        <v>WOO IP</v>
      </c>
      <c r="F213" s="81" t="str">
        <f aca="false">'W Programs'!D17</f>
        <v>Digital</v>
      </c>
      <c r="G213" s="145" t="n">
        <f aca="false">INDEX('W Programs'!$F$17:$H$17,1,D213)*INDEX('W Assumptions'!$D$7:$F$7,1,D213)*'W Assumptions'!E97/SUM('W Assumptions'!E$95:E$106)</f>
        <v>75</v>
      </c>
      <c r="H213" s="81" t="n">
        <f aca="false">G213*INDEX('W Programs'!$I$17:$K$17,1,D213)*INDEX('W Assumptions'!$D$12:$F$12,1,D213)</f>
        <v>26250</v>
      </c>
      <c r="I213" s="81" t="n">
        <f aca="false">H213*CHOOSE(D213,'W Programs'!L17,'W Programs'!Q17,'W Programs'!R17)*INDEX('W Assumptions'!$D$17:$F$17,1,D213)</f>
        <v>4725</v>
      </c>
      <c r="J213" s="81" t="n">
        <f aca="false">H213*'W Programs'!$M$17*'W Programs'!$O$17</f>
        <v>0</v>
      </c>
      <c r="K213" s="149" t="n">
        <f aca="false">'W Programs'!$N$17</f>
        <v>1</v>
      </c>
      <c r="L213" s="81" t="n">
        <f aca="false">H213*K213+H185*(1-K213)</f>
        <v>26250</v>
      </c>
      <c r="M213" s="81" t="n">
        <f aca="false">L213*'W Programs'!$M$17*'W Programs'!$O$17</f>
        <v>0</v>
      </c>
      <c r="N213" s="81" t="n">
        <f aca="false">I213*'W Assumptions'!$D$55+I199*(1-'W Assumptions'!$D$55)</f>
        <v>4725</v>
      </c>
      <c r="O213" s="81" t="n">
        <f aca="false">H213-I213-J213</f>
        <v>21525</v>
      </c>
    </row>
    <row r="214" customFormat="false" ht="21" hidden="false" customHeight="true" outlineLevel="0" collapsed="false">
      <c r="C214" s="144" t="n">
        <f aca="false">46692</f>
        <v>46692</v>
      </c>
      <c r="D214" s="81" t="n">
        <f aca="false">2</f>
        <v>2</v>
      </c>
      <c r="E214" s="81" t="str">
        <f aca="false">'W Programs'!C18</f>
        <v>WOO IP</v>
      </c>
      <c r="F214" s="81" t="str">
        <f aca="false">'W Programs'!D18</f>
        <v>Retail</v>
      </c>
      <c r="G214" s="145" t="n">
        <f aca="false">INDEX('W Programs'!$F$18:$H$18,1,D214)*INDEX('W Assumptions'!$D$7:$F$7,1,D214)*'W Assumptions'!E97/SUM('W Assumptions'!E$95:E$106)</f>
        <v>200</v>
      </c>
      <c r="H214" s="81" t="n">
        <f aca="false">G214*INDEX('W Programs'!$I$18:$K$18,1,D214)*INDEX('W Assumptions'!$D$12:$F$12,1,D214)</f>
        <v>50000</v>
      </c>
      <c r="I214" s="81" t="n">
        <f aca="false">H214*CHOOSE(D214,'W Programs'!L18,'W Programs'!Q18,'W Programs'!R18)*INDEX('W Assumptions'!$D$17:$F$17,1,D214)</f>
        <v>25000</v>
      </c>
      <c r="J214" s="81" t="n">
        <f aca="false">H214*'W Programs'!$M$18*'W Programs'!$O$18</f>
        <v>0</v>
      </c>
      <c r="K214" s="149" t="n">
        <f aca="false">'W Programs'!$N$18</f>
        <v>1</v>
      </c>
      <c r="L214" s="81" t="n">
        <f aca="false">H214*K214+H186*(1-K214)</f>
        <v>50000</v>
      </c>
      <c r="M214" s="81" t="n">
        <f aca="false">L214*'W Programs'!$M$18*'W Programs'!$O$18</f>
        <v>0</v>
      </c>
      <c r="N214" s="81" t="n">
        <f aca="false">I214*'W Assumptions'!$D$55+I200*(1-'W Assumptions'!$D$55)</f>
        <v>25000</v>
      </c>
      <c r="O214" s="81" t="n">
        <f aca="false">H214-I214-J214</f>
        <v>25000</v>
      </c>
    </row>
    <row r="215" customFormat="false" ht="21" hidden="false" customHeight="true" outlineLevel="0" collapsed="false">
      <c r="C215" s="144" t="n">
        <f aca="false">46692</f>
        <v>46692</v>
      </c>
      <c r="D215" s="81" t="n">
        <f aca="false">2</f>
        <v>2</v>
      </c>
      <c r="E215" s="81" t="str">
        <f aca="false">'W Programs'!C19</f>
        <v>WOO IP</v>
      </c>
      <c r="F215" s="81" t="str">
        <f aca="false">'W Programs'!D19</f>
        <v>Licensing</v>
      </c>
      <c r="G215" s="145" t="n">
        <f aca="false">INDEX('W Programs'!$F$19:$H$19,1,D215)*INDEX('W Assumptions'!$D$7:$F$7,1,D215)*'W Assumptions'!E97/SUM('W Assumptions'!E$95:E$106)</f>
        <v>0.05</v>
      </c>
      <c r="H215" s="81" t="n">
        <f aca="false">G215*INDEX('W Programs'!$I$19:$K$19,1,D215)*INDEX('W Assumptions'!$D$12:$F$12,1,D215)</f>
        <v>15000</v>
      </c>
      <c r="I215" s="81" t="n">
        <f aca="false">H215*CHOOSE(D215,'W Programs'!L19,'W Programs'!Q19,'W Programs'!R19)*INDEX('W Assumptions'!$D$17:$F$17,1,D215)</f>
        <v>1800</v>
      </c>
      <c r="J215" s="81" t="n">
        <f aca="false">H215*'W Programs'!$M$19*'W Programs'!$O$19</f>
        <v>0</v>
      </c>
      <c r="K215" s="149" t="n">
        <f aca="false">'W Programs'!$N$19</f>
        <v>0.3</v>
      </c>
      <c r="L215" s="81" t="n">
        <f aca="false">H215*K215+H187*(1-K215)</f>
        <v>15000</v>
      </c>
      <c r="M215" s="81" t="n">
        <f aca="false">L215*'W Programs'!$M$19*'W Programs'!$O$19</f>
        <v>0</v>
      </c>
      <c r="N215" s="81" t="n">
        <f aca="false">I215*'W Assumptions'!$D$55+I201*(1-'W Assumptions'!$D$55)</f>
        <v>1800</v>
      </c>
      <c r="O215" s="81" t="n">
        <f aca="false">H215-I215-J215</f>
        <v>13200</v>
      </c>
    </row>
    <row r="216" customFormat="false" ht="21" hidden="false" customHeight="true" outlineLevel="0" collapsed="false">
      <c r="C216" s="144" t="n">
        <f aca="false">46722</f>
        <v>46722</v>
      </c>
      <c r="D216" s="81" t="n">
        <f aca="false">2</f>
        <v>2</v>
      </c>
      <c r="E216" s="81" t="str">
        <f aca="false">'W Programs'!C6</f>
        <v>TLI</v>
      </c>
      <c r="F216" s="81" t="str">
        <f aca="false">'W Programs'!D6</f>
        <v>Schools</v>
      </c>
      <c r="G216" s="145" t="n">
        <f aca="false">INDEX('W Programs'!$F$6:$H$6,1,D216)*INDEX('W Assumptions'!$D$7:$F$7,1,D216)*'W Assumptions'!E98/SUM('W Assumptions'!E$95:E$106)</f>
        <v>0.466666666666667</v>
      </c>
      <c r="H216" s="81" t="n">
        <f aca="false">G216*INDEX('W Programs'!$I$6:$K$6,1,D216)*INDEX('W Assumptions'!$D$12:$F$12,1,D216)</f>
        <v>79333.3333333333</v>
      </c>
      <c r="I216" s="81" t="n">
        <f aca="false">H216*CHOOSE(D216,'W Programs'!L6,'W Programs'!Q6,'W Programs'!R6)*INDEX('W Assumptions'!$D$17:$F$17,1,D216)</f>
        <v>31733.3333333333</v>
      </c>
      <c r="J216" s="81" t="n">
        <f aca="false">H216*'W Programs'!$M$6*'W Programs'!$O$6</f>
        <v>0</v>
      </c>
      <c r="K216" s="149" t="n">
        <f aca="false">'W Programs'!$N$6</f>
        <v>0.3</v>
      </c>
      <c r="L216" s="81" t="n">
        <f aca="false">H216*K216+H188*(1-K216)</f>
        <v>79333.3333333333</v>
      </c>
      <c r="M216" s="81" t="n">
        <f aca="false">L216*'W Programs'!$M$6*'W Programs'!$O$6</f>
        <v>0</v>
      </c>
      <c r="N216" s="81" t="n">
        <f aca="false">I216*'W Assumptions'!$D$55+I202*(1-'W Assumptions'!$D$55)</f>
        <v>31733.3333333333</v>
      </c>
      <c r="O216" s="81" t="n">
        <f aca="false">H216-I216-J216</f>
        <v>47600</v>
      </c>
    </row>
    <row r="217" customFormat="false" ht="21" hidden="false" customHeight="true" outlineLevel="0" collapsed="false">
      <c r="C217" s="144" t="n">
        <f aca="false">46722</f>
        <v>46722</v>
      </c>
      <c r="D217" s="81" t="n">
        <f aca="false">2</f>
        <v>2</v>
      </c>
      <c r="E217" s="81" t="str">
        <f aca="false">'W Programs'!C7</f>
        <v>TLI</v>
      </c>
      <c r="F217" s="81" t="str">
        <f aca="false">'W Programs'!D7</f>
        <v>Activations</v>
      </c>
      <c r="G217" s="145" t="n">
        <f aca="false">INDEX('W Programs'!$F$7:$H$7,1,D217)*INDEX('W Assumptions'!$D$7:$F$7,1,D217)*'W Assumptions'!E98/SUM('W Assumptions'!E$95:E$106)</f>
        <v>0.6</v>
      </c>
      <c r="H217" s="81" t="n">
        <f aca="false">G217*INDEX('W Programs'!$I$7:$K$7,1,D217)*INDEX('W Assumptions'!$D$12:$F$12,1,D217)</f>
        <v>45000</v>
      </c>
      <c r="I217" s="81" t="n">
        <f aca="false">H217*CHOOSE(D217,'W Programs'!L7,'W Programs'!Q7,'W Programs'!R7)*INDEX('W Assumptions'!$D$17:$F$17,1,D217)</f>
        <v>23400</v>
      </c>
      <c r="J217" s="81" t="n">
        <f aca="false">H217*'W Programs'!$M$7*'W Programs'!$O$7</f>
        <v>0</v>
      </c>
      <c r="K217" s="149" t="n">
        <f aca="false">'W Programs'!$N$7</f>
        <v>0.3</v>
      </c>
      <c r="L217" s="81" t="n">
        <f aca="false">H217*K217+H189*(1-K217)</f>
        <v>45000</v>
      </c>
      <c r="M217" s="81" t="n">
        <f aca="false">L217*'W Programs'!$M$7*'W Programs'!$O$7</f>
        <v>0</v>
      </c>
      <c r="N217" s="81" t="n">
        <f aca="false">I217*'W Assumptions'!$D$55+I203*(1-'W Assumptions'!$D$55)</f>
        <v>23400</v>
      </c>
      <c r="O217" s="81" t="n">
        <f aca="false">H217-I217-J217</f>
        <v>21600</v>
      </c>
    </row>
    <row r="218" customFormat="false" ht="21" hidden="false" customHeight="true" outlineLevel="0" collapsed="false">
      <c r="C218" s="144" t="n">
        <f aca="false">46722</f>
        <v>46722</v>
      </c>
      <c r="D218" s="81" t="n">
        <f aca="false">2</f>
        <v>2</v>
      </c>
      <c r="E218" s="81" t="str">
        <f aca="false">'W Programs'!C8</f>
        <v>TLI</v>
      </c>
      <c r="F218" s="81" t="str">
        <f aca="false">'W Programs'!D8</f>
        <v>Workshops</v>
      </c>
      <c r="G218" s="145" t="n">
        <f aca="false">INDEX('W Programs'!$F$8:$H$8,1,D218)*INDEX('W Assumptions'!$D$7:$F$7,1,D218)*'W Assumptions'!E98/SUM('W Assumptions'!E$95:E$106)</f>
        <v>5.33333333333333</v>
      </c>
      <c r="H218" s="81" t="n">
        <f aca="false">G218*INDEX('W Programs'!$I$8:$K$8,1,D218)*INDEX('W Assumptions'!$D$12:$F$12,1,D218)</f>
        <v>26666.6666666667</v>
      </c>
      <c r="I218" s="81" t="n">
        <f aca="false">H218*CHOOSE(D218,'W Programs'!L8,'W Programs'!Q8,'W Programs'!R8)*INDEX('W Assumptions'!$D$17:$F$17,1,D218)</f>
        <v>11200</v>
      </c>
      <c r="J218" s="81" t="n">
        <f aca="false">H218*'W Programs'!$M$8*'W Programs'!$O$8</f>
        <v>0</v>
      </c>
      <c r="K218" s="149" t="n">
        <f aca="false">'W Programs'!$N$8</f>
        <v>0.7</v>
      </c>
      <c r="L218" s="81" t="n">
        <f aca="false">H218*K218+H190*(1-K218)</f>
        <v>26666.6666666667</v>
      </c>
      <c r="M218" s="81" t="n">
        <f aca="false">L218*'W Programs'!$M$8*'W Programs'!$O$8</f>
        <v>0</v>
      </c>
      <c r="N218" s="81" t="n">
        <f aca="false">I218*'W Assumptions'!$D$55+I204*(1-'W Assumptions'!$D$55)</f>
        <v>11200</v>
      </c>
      <c r="O218" s="81" t="n">
        <f aca="false">H218-I218-J218</f>
        <v>15466.6666666667</v>
      </c>
    </row>
    <row r="219" customFormat="false" ht="21" hidden="false" customHeight="true" outlineLevel="0" collapsed="false">
      <c r="C219" s="144" t="n">
        <f aca="false">46722</f>
        <v>46722</v>
      </c>
      <c r="D219" s="81" t="n">
        <f aca="false">2</f>
        <v>2</v>
      </c>
      <c r="E219" s="81" t="str">
        <f aca="false">'W Programs'!C9</f>
        <v>TLI</v>
      </c>
      <c r="F219" s="81" t="str">
        <f aca="false">'W Programs'!D9</f>
        <v>Installations</v>
      </c>
      <c r="G219" s="145" t="n">
        <f aca="false">INDEX('W Programs'!$F$9:$H$9,1,D219)*INDEX('W Assumptions'!$D$7:$F$7,1,D219)*'W Assumptions'!E98/SUM('W Assumptions'!E$95:E$106)</f>
        <v>0.1</v>
      </c>
      <c r="H219" s="81" t="n">
        <f aca="false">G219*INDEX('W Programs'!$I$9:$K$9,1,D219)*INDEX('W Assumptions'!$D$12:$F$12,1,D219)</f>
        <v>30000</v>
      </c>
      <c r="I219" s="81" t="n">
        <f aca="false">H219*CHOOSE(D219,'W Programs'!L9,'W Programs'!Q9,'W Programs'!R9)*INDEX('W Assumptions'!$D$17:$F$17,1,D219)</f>
        <v>18000</v>
      </c>
      <c r="J219" s="81" t="n">
        <f aca="false">H219*'W Programs'!$M$9*'W Programs'!$O$9</f>
        <v>0</v>
      </c>
      <c r="K219" s="149" t="n">
        <f aca="false">'W Programs'!$N$9</f>
        <v>0.3</v>
      </c>
      <c r="L219" s="81" t="n">
        <f aca="false">H219*K219+H191*(1-K219)</f>
        <v>30000</v>
      </c>
      <c r="M219" s="81" t="n">
        <f aca="false">L219*'W Programs'!$M$9*'W Programs'!$O$9</f>
        <v>0</v>
      </c>
      <c r="N219" s="81" t="n">
        <f aca="false">I219*'W Assumptions'!$D$55+I205*(1-'W Assumptions'!$D$55)</f>
        <v>18000</v>
      </c>
      <c r="O219" s="81" t="n">
        <f aca="false">H219-I219-J219</f>
        <v>12000</v>
      </c>
    </row>
    <row r="220" customFormat="false" ht="21" hidden="false" customHeight="true" outlineLevel="0" collapsed="false">
      <c r="C220" s="144" t="n">
        <f aca="false">46722</f>
        <v>46722</v>
      </c>
      <c r="D220" s="81" t="n">
        <f aca="false">2</f>
        <v>2</v>
      </c>
      <c r="E220" s="81" t="str">
        <f aca="false">'W Programs'!C10</f>
        <v>TLI</v>
      </c>
      <c r="F220" s="81" t="str">
        <f aca="false">'W Programs'!D10</f>
        <v>Digital</v>
      </c>
      <c r="G220" s="145" t="n">
        <f aca="false">INDEX('W Programs'!$F$10:$H$10,1,D220)*INDEX('W Assumptions'!$D$7:$F$7,1,D220)*'W Assumptions'!E98/SUM('W Assumptions'!E$95:E$106)</f>
        <v>50</v>
      </c>
      <c r="H220" s="81" t="n">
        <f aca="false">G220*INDEX('W Programs'!$I$10:$K$10,1,D220)*INDEX('W Assumptions'!$D$12:$F$12,1,D220)</f>
        <v>17500</v>
      </c>
      <c r="I220" s="81" t="n">
        <f aca="false">H220*CHOOSE(D220,'W Programs'!L10,'W Programs'!Q10,'W Programs'!R10)*INDEX('W Assumptions'!$D$17:$F$17,1,D220)</f>
        <v>3150</v>
      </c>
      <c r="J220" s="81" t="n">
        <f aca="false">H220*'W Programs'!$M$10*'W Programs'!$O$10</f>
        <v>0</v>
      </c>
      <c r="K220" s="149" t="n">
        <f aca="false">'W Programs'!$N$10</f>
        <v>1</v>
      </c>
      <c r="L220" s="81" t="n">
        <f aca="false">H220*K220+H192*(1-K220)</f>
        <v>17500</v>
      </c>
      <c r="M220" s="81" t="n">
        <f aca="false">L220*'W Programs'!$M$10*'W Programs'!$O$10</f>
        <v>0</v>
      </c>
      <c r="N220" s="81" t="n">
        <f aca="false">I220*'W Assumptions'!$D$55+I206*(1-'W Assumptions'!$D$55)</f>
        <v>3150</v>
      </c>
      <c r="O220" s="81" t="n">
        <f aca="false">H220-I220-J220</f>
        <v>14350</v>
      </c>
    </row>
    <row r="221" customFormat="false" ht="21" hidden="false" customHeight="true" outlineLevel="0" collapsed="false">
      <c r="C221" s="144" t="n">
        <f aca="false">46722</f>
        <v>46722</v>
      </c>
      <c r="D221" s="81" t="n">
        <f aca="false">2</f>
        <v>2</v>
      </c>
      <c r="E221" s="81" t="str">
        <f aca="false">'W Programs'!C11</f>
        <v>TLI</v>
      </c>
      <c r="F221" s="81" t="str">
        <f aca="false">'W Programs'!D11</f>
        <v>Retail</v>
      </c>
      <c r="G221" s="145" t="n">
        <f aca="false">INDEX('W Programs'!$F$11:$H$11,1,D221)*INDEX('W Assumptions'!$D$7:$F$7,1,D221)*'W Assumptions'!E98/SUM('W Assumptions'!E$95:E$106)</f>
        <v>133.333333333333</v>
      </c>
      <c r="H221" s="81" t="n">
        <f aca="false">G221*INDEX('W Programs'!$I$11:$K$11,1,D221)*INDEX('W Assumptions'!$D$12:$F$12,1,D221)</f>
        <v>33333.3333333333</v>
      </c>
      <c r="I221" s="81" t="n">
        <f aca="false">H221*CHOOSE(D221,'W Programs'!L11,'W Programs'!Q11,'W Programs'!R11)*INDEX('W Assumptions'!$D$17:$F$17,1,D221)</f>
        <v>16666.6666666667</v>
      </c>
      <c r="J221" s="81" t="n">
        <f aca="false">H221*'W Programs'!$M$11*'W Programs'!$O$11</f>
        <v>0</v>
      </c>
      <c r="K221" s="149" t="n">
        <f aca="false">'W Programs'!$N$11</f>
        <v>1</v>
      </c>
      <c r="L221" s="81" t="n">
        <f aca="false">H221*K221+H193*(1-K221)</f>
        <v>33333.3333333333</v>
      </c>
      <c r="M221" s="81" t="n">
        <f aca="false">L221*'W Programs'!$M$11*'W Programs'!$O$11</f>
        <v>0</v>
      </c>
      <c r="N221" s="81" t="n">
        <f aca="false">I221*'W Assumptions'!$D$55+I207*(1-'W Assumptions'!$D$55)</f>
        <v>16666.6666666667</v>
      </c>
      <c r="O221" s="81" t="n">
        <f aca="false">H221-I221-J221</f>
        <v>16666.6666666667</v>
      </c>
    </row>
    <row r="222" customFormat="false" ht="21" hidden="false" customHeight="true" outlineLevel="0" collapsed="false">
      <c r="C222" s="144" t="n">
        <f aca="false">46722</f>
        <v>46722</v>
      </c>
      <c r="D222" s="81" t="n">
        <f aca="false">2</f>
        <v>2</v>
      </c>
      <c r="E222" s="81" t="str">
        <f aca="false">'W Programs'!C12</f>
        <v>TLI</v>
      </c>
      <c r="F222" s="81" t="str">
        <f aca="false">'W Programs'!D12</f>
        <v>Licensing</v>
      </c>
      <c r="G222" s="145" t="n">
        <f aca="false">INDEX('W Programs'!$F$12:$H$12,1,D222)*INDEX('W Assumptions'!$D$7:$F$7,1,D222)*'W Assumptions'!E98/SUM('W Assumptions'!E$95:E$106)</f>
        <v>0.0333333333333333</v>
      </c>
      <c r="H222" s="81" t="n">
        <f aca="false">G222*INDEX('W Programs'!$I$12:$K$12,1,D222)*INDEX('W Assumptions'!$D$12:$F$12,1,D222)</f>
        <v>10000</v>
      </c>
      <c r="I222" s="81" t="n">
        <f aca="false">H222*CHOOSE(D222,'W Programs'!L12,'W Programs'!Q12,'W Programs'!R12)*INDEX('W Assumptions'!$D$17:$F$17,1,D222)</f>
        <v>1200</v>
      </c>
      <c r="J222" s="81" t="n">
        <f aca="false">H222*'W Programs'!$M$12*'W Programs'!$O$12</f>
        <v>0</v>
      </c>
      <c r="K222" s="149" t="n">
        <f aca="false">'W Programs'!$N$12</f>
        <v>0.3</v>
      </c>
      <c r="L222" s="81" t="n">
        <f aca="false">H222*K222+H194*(1-K222)</f>
        <v>10000</v>
      </c>
      <c r="M222" s="81" t="n">
        <f aca="false">L222*'W Programs'!$M$12*'W Programs'!$O$12</f>
        <v>0</v>
      </c>
      <c r="N222" s="81" t="n">
        <f aca="false">I222*'W Assumptions'!$D$55+I208*(1-'W Assumptions'!$D$55)</f>
        <v>1200</v>
      </c>
      <c r="O222" s="81" t="n">
        <f aca="false">H222-I222-J222</f>
        <v>8800</v>
      </c>
    </row>
    <row r="223" customFormat="false" ht="21" hidden="false" customHeight="true" outlineLevel="0" collapsed="false">
      <c r="C223" s="144" t="n">
        <f aca="false">46722</f>
        <v>46722</v>
      </c>
      <c r="D223" s="81" t="n">
        <f aca="false">2</f>
        <v>2</v>
      </c>
      <c r="E223" s="81" t="str">
        <f aca="false">'W Programs'!C13</f>
        <v>WOO IP</v>
      </c>
      <c r="F223" s="81" t="str">
        <f aca="false">'W Programs'!D13</f>
        <v>Schools</v>
      </c>
      <c r="G223" s="145" t="n">
        <f aca="false">INDEX('W Programs'!$F$13:$H$13,1,D223)*INDEX('W Assumptions'!$D$7:$F$7,1,D223)*'W Assumptions'!E98/SUM('W Assumptions'!E$95:E$106)</f>
        <v>0.7</v>
      </c>
      <c r="H223" s="81" t="n">
        <f aca="false">G223*INDEX('W Programs'!$I$13:$K$13,1,D223)*INDEX('W Assumptions'!$D$12:$F$12,1,D223)</f>
        <v>119000</v>
      </c>
      <c r="I223" s="81" t="n">
        <f aca="false">H223*CHOOSE(D223,'W Programs'!L13,'W Programs'!Q13,'W Programs'!R13)*INDEX('W Assumptions'!$D$17:$F$17,1,D223)</f>
        <v>47600</v>
      </c>
      <c r="J223" s="81" t="n">
        <f aca="false">H223*'W Programs'!$M$13*'W Programs'!$O$13</f>
        <v>0</v>
      </c>
      <c r="K223" s="149" t="n">
        <f aca="false">'W Programs'!$N$13</f>
        <v>0.3</v>
      </c>
      <c r="L223" s="81" t="n">
        <f aca="false">H223*K223+H195*(1-K223)</f>
        <v>119000</v>
      </c>
      <c r="M223" s="81" t="n">
        <f aca="false">L223*'W Programs'!$M$13*'W Programs'!$O$13</f>
        <v>0</v>
      </c>
      <c r="N223" s="81" t="n">
        <f aca="false">I223*'W Assumptions'!$D$55+I209*(1-'W Assumptions'!$D$55)</f>
        <v>47600</v>
      </c>
      <c r="O223" s="81" t="n">
        <f aca="false">H223-I223-J223</f>
        <v>71400</v>
      </c>
    </row>
    <row r="224" customFormat="false" ht="21" hidden="false" customHeight="true" outlineLevel="0" collapsed="false">
      <c r="C224" s="144" t="n">
        <f aca="false">46722</f>
        <v>46722</v>
      </c>
      <c r="D224" s="81" t="n">
        <f aca="false">2</f>
        <v>2</v>
      </c>
      <c r="E224" s="81" t="str">
        <f aca="false">'W Programs'!C14</f>
        <v>WOO IP</v>
      </c>
      <c r="F224" s="81" t="str">
        <f aca="false">'W Programs'!D14</f>
        <v>Activations</v>
      </c>
      <c r="G224" s="145" t="n">
        <f aca="false">INDEX('W Programs'!$F$14:$H$14,1,D224)*INDEX('W Assumptions'!$D$7:$F$7,1,D224)*'W Assumptions'!E98/SUM('W Assumptions'!E$95:E$106)</f>
        <v>0.9</v>
      </c>
      <c r="H224" s="81" t="n">
        <f aca="false">G224*INDEX('W Programs'!$I$14:$K$14,1,D224)*INDEX('W Assumptions'!$D$12:$F$12,1,D224)</f>
        <v>67500</v>
      </c>
      <c r="I224" s="81" t="n">
        <f aca="false">H224*CHOOSE(D224,'W Programs'!L14,'W Programs'!Q14,'W Programs'!R14)*INDEX('W Assumptions'!$D$17:$F$17,1,D224)</f>
        <v>35100</v>
      </c>
      <c r="J224" s="81" t="n">
        <f aca="false">H224*'W Programs'!$M$14*'W Programs'!$O$14</f>
        <v>0</v>
      </c>
      <c r="K224" s="149" t="n">
        <f aca="false">'W Programs'!$N$14</f>
        <v>0.3</v>
      </c>
      <c r="L224" s="81" t="n">
        <f aca="false">H224*K224+H196*(1-K224)</f>
        <v>67500</v>
      </c>
      <c r="M224" s="81" t="n">
        <f aca="false">L224*'W Programs'!$M$14*'W Programs'!$O$14</f>
        <v>0</v>
      </c>
      <c r="N224" s="81" t="n">
        <f aca="false">I224*'W Assumptions'!$D$55+I210*(1-'W Assumptions'!$D$55)</f>
        <v>35100</v>
      </c>
      <c r="O224" s="81" t="n">
        <f aca="false">H224-I224-J224</f>
        <v>32400</v>
      </c>
    </row>
    <row r="225" customFormat="false" ht="21" hidden="false" customHeight="true" outlineLevel="0" collapsed="false">
      <c r="C225" s="144" t="n">
        <f aca="false">46722</f>
        <v>46722</v>
      </c>
      <c r="D225" s="81" t="n">
        <f aca="false">2</f>
        <v>2</v>
      </c>
      <c r="E225" s="81" t="str">
        <f aca="false">'W Programs'!C15</f>
        <v>WOO IP</v>
      </c>
      <c r="F225" s="81" t="str">
        <f aca="false">'W Programs'!D15</f>
        <v>Workshops</v>
      </c>
      <c r="G225" s="145" t="n">
        <f aca="false">INDEX('W Programs'!$F$15:$H$15,1,D225)*INDEX('W Assumptions'!$D$7:$F$7,1,D225)*'W Assumptions'!E98/SUM('W Assumptions'!E$95:E$106)</f>
        <v>8</v>
      </c>
      <c r="H225" s="81" t="n">
        <f aca="false">G225*INDEX('W Programs'!$I$15:$K$15,1,D225)*INDEX('W Assumptions'!$D$12:$F$12,1,D225)</f>
        <v>40000</v>
      </c>
      <c r="I225" s="81" t="n">
        <f aca="false">H225*CHOOSE(D225,'W Programs'!L15,'W Programs'!Q15,'W Programs'!R15)*INDEX('W Assumptions'!$D$17:$F$17,1,D225)</f>
        <v>16800</v>
      </c>
      <c r="J225" s="81" t="n">
        <f aca="false">H225*'W Programs'!$M$15*'W Programs'!$O$15</f>
        <v>0</v>
      </c>
      <c r="K225" s="149" t="n">
        <f aca="false">'W Programs'!$N$15</f>
        <v>0.7</v>
      </c>
      <c r="L225" s="81" t="n">
        <f aca="false">H225*K225+H197*(1-K225)</f>
        <v>40000</v>
      </c>
      <c r="M225" s="81" t="n">
        <f aca="false">L225*'W Programs'!$M$15*'W Programs'!$O$15</f>
        <v>0</v>
      </c>
      <c r="N225" s="81" t="n">
        <f aca="false">I225*'W Assumptions'!$D$55+I211*(1-'W Assumptions'!$D$55)</f>
        <v>16800</v>
      </c>
      <c r="O225" s="81" t="n">
        <f aca="false">H225-I225-J225</f>
        <v>23200</v>
      </c>
    </row>
    <row r="226" customFormat="false" ht="21" hidden="false" customHeight="true" outlineLevel="0" collapsed="false">
      <c r="C226" s="144" t="n">
        <f aca="false">46722</f>
        <v>46722</v>
      </c>
      <c r="D226" s="81" t="n">
        <f aca="false">2</f>
        <v>2</v>
      </c>
      <c r="E226" s="81" t="str">
        <f aca="false">'W Programs'!C16</f>
        <v>WOO IP</v>
      </c>
      <c r="F226" s="81" t="str">
        <f aca="false">'W Programs'!D16</f>
        <v>Installations</v>
      </c>
      <c r="G226" s="145" t="n">
        <f aca="false">INDEX('W Programs'!$F$16:$H$16,1,D226)*INDEX('W Assumptions'!$D$7:$F$7,1,D226)*'W Assumptions'!E98/SUM('W Assumptions'!E$95:E$106)</f>
        <v>0.15</v>
      </c>
      <c r="H226" s="81" t="n">
        <f aca="false">G226*INDEX('W Programs'!$I$16:$K$16,1,D226)*INDEX('W Assumptions'!$D$12:$F$12,1,D226)</f>
        <v>45000</v>
      </c>
      <c r="I226" s="81" t="n">
        <f aca="false">H226*CHOOSE(D226,'W Programs'!L16,'W Programs'!Q16,'W Programs'!R16)*INDEX('W Assumptions'!$D$17:$F$17,1,D226)</f>
        <v>27000</v>
      </c>
      <c r="J226" s="81" t="n">
        <f aca="false">H226*'W Programs'!$M$16*'W Programs'!$O$16</f>
        <v>0</v>
      </c>
      <c r="K226" s="149" t="n">
        <f aca="false">'W Programs'!$N$16</f>
        <v>0.3</v>
      </c>
      <c r="L226" s="81" t="n">
        <f aca="false">H226*K226+H198*(1-K226)</f>
        <v>45000</v>
      </c>
      <c r="M226" s="81" t="n">
        <f aca="false">L226*'W Programs'!$M$16*'W Programs'!$O$16</f>
        <v>0</v>
      </c>
      <c r="N226" s="81" t="n">
        <f aca="false">I226*'W Assumptions'!$D$55+I212*(1-'W Assumptions'!$D$55)</f>
        <v>27000</v>
      </c>
      <c r="O226" s="81" t="n">
        <f aca="false">H226-I226-J226</f>
        <v>18000</v>
      </c>
    </row>
    <row r="227" customFormat="false" ht="21" hidden="false" customHeight="true" outlineLevel="0" collapsed="false">
      <c r="C227" s="144" t="n">
        <f aca="false">46722</f>
        <v>46722</v>
      </c>
      <c r="D227" s="81" t="n">
        <f aca="false">2</f>
        <v>2</v>
      </c>
      <c r="E227" s="81" t="str">
        <f aca="false">'W Programs'!C17</f>
        <v>WOO IP</v>
      </c>
      <c r="F227" s="81" t="str">
        <f aca="false">'W Programs'!D17</f>
        <v>Digital</v>
      </c>
      <c r="G227" s="145" t="n">
        <f aca="false">INDEX('W Programs'!$F$17:$H$17,1,D227)*INDEX('W Assumptions'!$D$7:$F$7,1,D227)*'W Assumptions'!E98/SUM('W Assumptions'!E$95:E$106)</f>
        <v>75</v>
      </c>
      <c r="H227" s="81" t="n">
        <f aca="false">G227*INDEX('W Programs'!$I$17:$K$17,1,D227)*INDEX('W Assumptions'!$D$12:$F$12,1,D227)</f>
        <v>26250</v>
      </c>
      <c r="I227" s="81" t="n">
        <f aca="false">H227*CHOOSE(D227,'W Programs'!L17,'W Programs'!Q17,'W Programs'!R17)*INDEX('W Assumptions'!$D$17:$F$17,1,D227)</f>
        <v>4725</v>
      </c>
      <c r="J227" s="81" t="n">
        <f aca="false">H227*'W Programs'!$M$17*'W Programs'!$O$17</f>
        <v>0</v>
      </c>
      <c r="K227" s="149" t="n">
        <f aca="false">'W Programs'!$N$17</f>
        <v>1</v>
      </c>
      <c r="L227" s="81" t="n">
        <f aca="false">H227*K227+H199*(1-K227)</f>
        <v>26250</v>
      </c>
      <c r="M227" s="81" t="n">
        <f aca="false">L227*'W Programs'!$M$17*'W Programs'!$O$17</f>
        <v>0</v>
      </c>
      <c r="N227" s="81" t="n">
        <f aca="false">I227*'W Assumptions'!$D$55+I213*(1-'W Assumptions'!$D$55)</f>
        <v>4725</v>
      </c>
      <c r="O227" s="81" t="n">
        <f aca="false">H227-I227-J227</f>
        <v>21525</v>
      </c>
    </row>
    <row r="228" customFormat="false" ht="21" hidden="false" customHeight="true" outlineLevel="0" collapsed="false">
      <c r="C228" s="144" t="n">
        <f aca="false">46722</f>
        <v>46722</v>
      </c>
      <c r="D228" s="81" t="n">
        <f aca="false">2</f>
        <v>2</v>
      </c>
      <c r="E228" s="81" t="str">
        <f aca="false">'W Programs'!C18</f>
        <v>WOO IP</v>
      </c>
      <c r="F228" s="81" t="str">
        <f aca="false">'W Programs'!D18</f>
        <v>Retail</v>
      </c>
      <c r="G228" s="145" t="n">
        <f aca="false">INDEX('W Programs'!$F$18:$H$18,1,D228)*INDEX('W Assumptions'!$D$7:$F$7,1,D228)*'W Assumptions'!E98/SUM('W Assumptions'!E$95:E$106)</f>
        <v>200</v>
      </c>
      <c r="H228" s="81" t="n">
        <f aca="false">G228*INDEX('W Programs'!$I$18:$K$18,1,D228)*INDEX('W Assumptions'!$D$12:$F$12,1,D228)</f>
        <v>50000</v>
      </c>
      <c r="I228" s="81" t="n">
        <f aca="false">H228*CHOOSE(D228,'W Programs'!L18,'W Programs'!Q18,'W Programs'!R18)*INDEX('W Assumptions'!$D$17:$F$17,1,D228)</f>
        <v>25000</v>
      </c>
      <c r="J228" s="81" t="n">
        <f aca="false">H228*'W Programs'!$M$18*'W Programs'!$O$18</f>
        <v>0</v>
      </c>
      <c r="K228" s="149" t="n">
        <f aca="false">'W Programs'!$N$18</f>
        <v>1</v>
      </c>
      <c r="L228" s="81" t="n">
        <f aca="false">H228*K228+H200*(1-K228)</f>
        <v>50000</v>
      </c>
      <c r="M228" s="81" t="n">
        <f aca="false">L228*'W Programs'!$M$18*'W Programs'!$O$18</f>
        <v>0</v>
      </c>
      <c r="N228" s="81" t="n">
        <f aca="false">I228*'W Assumptions'!$D$55+I214*(1-'W Assumptions'!$D$55)</f>
        <v>25000</v>
      </c>
      <c r="O228" s="81" t="n">
        <f aca="false">H228-I228-J228</f>
        <v>25000</v>
      </c>
    </row>
    <row r="229" customFormat="false" ht="21" hidden="false" customHeight="true" outlineLevel="0" collapsed="false">
      <c r="C229" s="144" t="n">
        <f aca="false">46722</f>
        <v>46722</v>
      </c>
      <c r="D229" s="81" t="n">
        <f aca="false">2</f>
        <v>2</v>
      </c>
      <c r="E229" s="81" t="str">
        <f aca="false">'W Programs'!C19</f>
        <v>WOO IP</v>
      </c>
      <c r="F229" s="81" t="str">
        <f aca="false">'W Programs'!D19</f>
        <v>Licensing</v>
      </c>
      <c r="G229" s="145" t="n">
        <f aca="false">INDEX('W Programs'!$F$19:$H$19,1,D229)*INDEX('W Assumptions'!$D$7:$F$7,1,D229)*'W Assumptions'!E98/SUM('W Assumptions'!E$95:E$106)</f>
        <v>0.05</v>
      </c>
      <c r="H229" s="81" t="n">
        <f aca="false">G229*INDEX('W Programs'!$I$19:$K$19,1,D229)*INDEX('W Assumptions'!$D$12:$F$12,1,D229)</f>
        <v>15000</v>
      </c>
      <c r="I229" s="81" t="n">
        <f aca="false">H229*CHOOSE(D229,'W Programs'!L19,'W Programs'!Q19,'W Programs'!R19)*INDEX('W Assumptions'!$D$17:$F$17,1,D229)</f>
        <v>1800</v>
      </c>
      <c r="J229" s="81" t="n">
        <f aca="false">H229*'W Programs'!$M$19*'W Programs'!$O$19</f>
        <v>0</v>
      </c>
      <c r="K229" s="149" t="n">
        <f aca="false">'W Programs'!$N$19</f>
        <v>0.3</v>
      </c>
      <c r="L229" s="81" t="n">
        <f aca="false">H229*K229+H201*(1-K229)</f>
        <v>15000</v>
      </c>
      <c r="M229" s="81" t="n">
        <f aca="false">L229*'W Programs'!$M$19*'W Programs'!$O$19</f>
        <v>0</v>
      </c>
      <c r="N229" s="81" t="n">
        <f aca="false">I229*'W Assumptions'!$D$55+I215*(1-'W Assumptions'!$D$55)</f>
        <v>1800</v>
      </c>
      <c r="O229" s="81" t="n">
        <f aca="false">H229-I229-J229</f>
        <v>13200</v>
      </c>
    </row>
    <row r="230" customFormat="false" ht="21" hidden="false" customHeight="true" outlineLevel="0" collapsed="false">
      <c r="C230" s="144" t="n">
        <f aca="false">46753</f>
        <v>46753</v>
      </c>
      <c r="D230" s="81" t="n">
        <f aca="false">2</f>
        <v>2</v>
      </c>
      <c r="E230" s="81" t="str">
        <f aca="false">'W Programs'!C6</f>
        <v>TLI</v>
      </c>
      <c r="F230" s="81" t="str">
        <f aca="false">'W Programs'!D6</f>
        <v>Schools</v>
      </c>
      <c r="G230" s="145" t="n">
        <f aca="false">INDEX('W Programs'!$F$6:$H$6,1,D230)*INDEX('W Assumptions'!$D$7:$F$7,1,D230)*'W Assumptions'!E99/SUM('W Assumptions'!E$95:E$106)</f>
        <v>0.466666666666667</v>
      </c>
      <c r="H230" s="81" t="n">
        <f aca="false">G230*INDEX('W Programs'!$I$6:$K$6,1,D230)*INDEX('W Assumptions'!$D$12:$F$12,1,D230)</f>
        <v>79333.3333333333</v>
      </c>
      <c r="I230" s="81" t="n">
        <f aca="false">H230*CHOOSE(D230,'W Programs'!L6,'W Programs'!Q6,'W Programs'!R6)*INDEX('W Assumptions'!$D$17:$F$17,1,D230)</f>
        <v>31733.3333333333</v>
      </c>
      <c r="J230" s="81" t="n">
        <f aca="false">H230*'W Programs'!$M$6*'W Programs'!$O$6</f>
        <v>0</v>
      </c>
      <c r="K230" s="149" t="n">
        <f aca="false">'W Programs'!$N$6</f>
        <v>0.3</v>
      </c>
      <c r="L230" s="81" t="n">
        <f aca="false">H230*K230+H202*(1-K230)</f>
        <v>79333.3333333333</v>
      </c>
      <c r="M230" s="81" t="n">
        <f aca="false">L230*'W Programs'!$M$6*'W Programs'!$O$6</f>
        <v>0</v>
      </c>
      <c r="N230" s="81" t="n">
        <f aca="false">I230*'W Assumptions'!$D$55+I216*(1-'W Assumptions'!$D$55)</f>
        <v>31733.3333333333</v>
      </c>
      <c r="O230" s="81" t="n">
        <f aca="false">H230-I230-J230</f>
        <v>47600</v>
      </c>
    </row>
    <row r="231" customFormat="false" ht="21" hidden="false" customHeight="true" outlineLevel="0" collapsed="false">
      <c r="C231" s="144" t="n">
        <f aca="false">46753</f>
        <v>46753</v>
      </c>
      <c r="D231" s="81" t="n">
        <f aca="false">2</f>
        <v>2</v>
      </c>
      <c r="E231" s="81" t="str">
        <f aca="false">'W Programs'!C7</f>
        <v>TLI</v>
      </c>
      <c r="F231" s="81" t="str">
        <f aca="false">'W Programs'!D7</f>
        <v>Activations</v>
      </c>
      <c r="G231" s="145" t="n">
        <f aca="false">INDEX('W Programs'!$F$7:$H$7,1,D231)*INDEX('W Assumptions'!$D$7:$F$7,1,D231)*'W Assumptions'!E99/SUM('W Assumptions'!E$95:E$106)</f>
        <v>0.6</v>
      </c>
      <c r="H231" s="81" t="n">
        <f aca="false">G231*INDEX('W Programs'!$I$7:$K$7,1,D231)*INDEX('W Assumptions'!$D$12:$F$12,1,D231)</f>
        <v>45000</v>
      </c>
      <c r="I231" s="81" t="n">
        <f aca="false">H231*CHOOSE(D231,'W Programs'!L7,'W Programs'!Q7,'W Programs'!R7)*INDEX('W Assumptions'!$D$17:$F$17,1,D231)</f>
        <v>23400</v>
      </c>
      <c r="J231" s="81" t="n">
        <f aca="false">H231*'W Programs'!$M$7*'W Programs'!$O$7</f>
        <v>0</v>
      </c>
      <c r="K231" s="149" t="n">
        <f aca="false">'W Programs'!$N$7</f>
        <v>0.3</v>
      </c>
      <c r="L231" s="81" t="n">
        <f aca="false">H231*K231+H203*(1-K231)</f>
        <v>45000</v>
      </c>
      <c r="M231" s="81" t="n">
        <f aca="false">L231*'W Programs'!$M$7*'W Programs'!$O$7</f>
        <v>0</v>
      </c>
      <c r="N231" s="81" t="n">
        <f aca="false">I231*'W Assumptions'!$D$55+I217*(1-'W Assumptions'!$D$55)</f>
        <v>23400</v>
      </c>
      <c r="O231" s="81" t="n">
        <f aca="false">H231-I231-J231</f>
        <v>21600</v>
      </c>
    </row>
    <row r="232" customFormat="false" ht="21" hidden="false" customHeight="true" outlineLevel="0" collapsed="false">
      <c r="C232" s="144" t="n">
        <f aca="false">46753</f>
        <v>46753</v>
      </c>
      <c r="D232" s="81" t="n">
        <f aca="false">2</f>
        <v>2</v>
      </c>
      <c r="E232" s="81" t="str">
        <f aca="false">'W Programs'!C8</f>
        <v>TLI</v>
      </c>
      <c r="F232" s="81" t="str">
        <f aca="false">'W Programs'!D8</f>
        <v>Workshops</v>
      </c>
      <c r="G232" s="145" t="n">
        <f aca="false">INDEX('W Programs'!$F$8:$H$8,1,D232)*INDEX('W Assumptions'!$D$7:$F$7,1,D232)*'W Assumptions'!E99/SUM('W Assumptions'!E$95:E$106)</f>
        <v>5.33333333333333</v>
      </c>
      <c r="H232" s="81" t="n">
        <f aca="false">G232*INDEX('W Programs'!$I$8:$K$8,1,D232)*INDEX('W Assumptions'!$D$12:$F$12,1,D232)</f>
        <v>26666.6666666667</v>
      </c>
      <c r="I232" s="81" t="n">
        <f aca="false">H232*CHOOSE(D232,'W Programs'!L8,'W Programs'!Q8,'W Programs'!R8)*INDEX('W Assumptions'!$D$17:$F$17,1,D232)</f>
        <v>11200</v>
      </c>
      <c r="J232" s="81" t="n">
        <f aca="false">H232*'W Programs'!$M$8*'W Programs'!$O$8</f>
        <v>0</v>
      </c>
      <c r="K232" s="149" t="n">
        <f aca="false">'W Programs'!$N$8</f>
        <v>0.7</v>
      </c>
      <c r="L232" s="81" t="n">
        <f aca="false">H232*K232+H204*(1-K232)</f>
        <v>26666.6666666667</v>
      </c>
      <c r="M232" s="81" t="n">
        <f aca="false">L232*'W Programs'!$M$8*'W Programs'!$O$8</f>
        <v>0</v>
      </c>
      <c r="N232" s="81" t="n">
        <f aca="false">I232*'W Assumptions'!$D$55+I218*(1-'W Assumptions'!$D$55)</f>
        <v>11200</v>
      </c>
      <c r="O232" s="81" t="n">
        <f aca="false">H232-I232-J232</f>
        <v>15466.6666666667</v>
      </c>
    </row>
    <row r="233" customFormat="false" ht="21" hidden="false" customHeight="true" outlineLevel="0" collapsed="false">
      <c r="C233" s="144" t="n">
        <f aca="false">46753</f>
        <v>46753</v>
      </c>
      <c r="D233" s="81" t="n">
        <f aca="false">2</f>
        <v>2</v>
      </c>
      <c r="E233" s="81" t="str">
        <f aca="false">'W Programs'!C9</f>
        <v>TLI</v>
      </c>
      <c r="F233" s="81" t="str">
        <f aca="false">'W Programs'!D9</f>
        <v>Installations</v>
      </c>
      <c r="G233" s="145" t="n">
        <f aca="false">INDEX('W Programs'!$F$9:$H$9,1,D233)*INDEX('W Assumptions'!$D$7:$F$7,1,D233)*'W Assumptions'!E99/SUM('W Assumptions'!E$95:E$106)</f>
        <v>0.1</v>
      </c>
      <c r="H233" s="81" t="n">
        <f aca="false">G233*INDEX('W Programs'!$I$9:$K$9,1,D233)*INDEX('W Assumptions'!$D$12:$F$12,1,D233)</f>
        <v>30000</v>
      </c>
      <c r="I233" s="81" t="n">
        <f aca="false">H233*CHOOSE(D233,'W Programs'!L9,'W Programs'!Q9,'W Programs'!R9)*INDEX('W Assumptions'!$D$17:$F$17,1,D233)</f>
        <v>18000</v>
      </c>
      <c r="J233" s="81" t="n">
        <f aca="false">H233*'W Programs'!$M$9*'W Programs'!$O$9</f>
        <v>0</v>
      </c>
      <c r="K233" s="149" t="n">
        <f aca="false">'W Programs'!$N$9</f>
        <v>0.3</v>
      </c>
      <c r="L233" s="81" t="n">
        <f aca="false">H233*K233+H205*(1-K233)</f>
        <v>30000</v>
      </c>
      <c r="M233" s="81" t="n">
        <f aca="false">L233*'W Programs'!$M$9*'W Programs'!$O$9</f>
        <v>0</v>
      </c>
      <c r="N233" s="81" t="n">
        <f aca="false">I233*'W Assumptions'!$D$55+I219*(1-'W Assumptions'!$D$55)</f>
        <v>18000</v>
      </c>
      <c r="O233" s="81" t="n">
        <f aca="false">H233-I233-J233</f>
        <v>12000</v>
      </c>
    </row>
    <row r="234" customFormat="false" ht="21" hidden="false" customHeight="true" outlineLevel="0" collapsed="false">
      <c r="C234" s="144" t="n">
        <f aca="false">46753</f>
        <v>46753</v>
      </c>
      <c r="D234" s="81" t="n">
        <f aca="false">2</f>
        <v>2</v>
      </c>
      <c r="E234" s="81" t="str">
        <f aca="false">'W Programs'!C10</f>
        <v>TLI</v>
      </c>
      <c r="F234" s="81" t="str">
        <f aca="false">'W Programs'!D10</f>
        <v>Digital</v>
      </c>
      <c r="G234" s="145" t="n">
        <f aca="false">INDEX('W Programs'!$F$10:$H$10,1,D234)*INDEX('W Assumptions'!$D$7:$F$7,1,D234)*'W Assumptions'!E99/SUM('W Assumptions'!E$95:E$106)</f>
        <v>50</v>
      </c>
      <c r="H234" s="81" t="n">
        <f aca="false">G234*INDEX('W Programs'!$I$10:$K$10,1,D234)*INDEX('W Assumptions'!$D$12:$F$12,1,D234)</f>
        <v>17500</v>
      </c>
      <c r="I234" s="81" t="n">
        <f aca="false">H234*CHOOSE(D234,'W Programs'!L10,'W Programs'!Q10,'W Programs'!R10)*INDEX('W Assumptions'!$D$17:$F$17,1,D234)</f>
        <v>3150</v>
      </c>
      <c r="J234" s="81" t="n">
        <f aca="false">H234*'W Programs'!$M$10*'W Programs'!$O$10</f>
        <v>0</v>
      </c>
      <c r="K234" s="149" t="n">
        <f aca="false">'W Programs'!$N$10</f>
        <v>1</v>
      </c>
      <c r="L234" s="81" t="n">
        <f aca="false">H234*K234+H206*(1-K234)</f>
        <v>17500</v>
      </c>
      <c r="M234" s="81" t="n">
        <f aca="false">L234*'W Programs'!$M$10*'W Programs'!$O$10</f>
        <v>0</v>
      </c>
      <c r="N234" s="81" t="n">
        <f aca="false">I234*'W Assumptions'!$D$55+I220*(1-'W Assumptions'!$D$55)</f>
        <v>3150</v>
      </c>
      <c r="O234" s="81" t="n">
        <f aca="false">H234-I234-J234</f>
        <v>14350</v>
      </c>
    </row>
    <row r="235" customFormat="false" ht="21" hidden="false" customHeight="true" outlineLevel="0" collapsed="false">
      <c r="C235" s="144" t="n">
        <f aca="false">46753</f>
        <v>46753</v>
      </c>
      <c r="D235" s="81" t="n">
        <f aca="false">2</f>
        <v>2</v>
      </c>
      <c r="E235" s="81" t="str">
        <f aca="false">'W Programs'!C11</f>
        <v>TLI</v>
      </c>
      <c r="F235" s="81" t="str">
        <f aca="false">'W Programs'!D11</f>
        <v>Retail</v>
      </c>
      <c r="G235" s="145" t="n">
        <f aca="false">INDEX('W Programs'!$F$11:$H$11,1,D235)*INDEX('W Assumptions'!$D$7:$F$7,1,D235)*'W Assumptions'!E99/SUM('W Assumptions'!E$95:E$106)</f>
        <v>133.333333333333</v>
      </c>
      <c r="H235" s="81" t="n">
        <f aca="false">G235*INDEX('W Programs'!$I$11:$K$11,1,D235)*INDEX('W Assumptions'!$D$12:$F$12,1,D235)</f>
        <v>33333.3333333333</v>
      </c>
      <c r="I235" s="81" t="n">
        <f aca="false">H235*CHOOSE(D235,'W Programs'!L11,'W Programs'!Q11,'W Programs'!R11)*INDEX('W Assumptions'!$D$17:$F$17,1,D235)</f>
        <v>16666.6666666667</v>
      </c>
      <c r="J235" s="81" t="n">
        <f aca="false">H235*'W Programs'!$M$11*'W Programs'!$O$11</f>
        <v>0</v>
      </c>
      <c r="K235" s="149" t="n">
        <f aca="false">'W Programs'!$N$11</f>
        <v>1</v>
      </c>
      <c r="L235" s="81" t="n">
        <f aca="false">H235*K235+H207*(1-K235)</f>
        <v>33333.3333333333</v>
      </c>
      <c r="M235" s="81" t="n">
        <f aca="false">L235*'W Programs'!$M$11*'W Programs'!$O$11</f>
        <v>0</v>
      </c>
      <c r="N235" s="81" t="n">
        <f aca="false">I235*'W Assumptions'!$D$55+I221*(1-'W Assumptions'!$D$55)</f>
        <v>16666.6666666667</v>
      </c>
      <c r="O235" s="81" t="n">
        <f aca="false">H235-I235-J235</f>
        <v>16666.6666666667</v>
      </c>
    </row>
    <row r="236" customFormat="false" ht="21" hidden="false" customHeight="true" outlineLevel="0" collapsed="false">
      <c r="C236" s="144" t="n">
        <f aca="false">46753</f>
        <v>46753</v>
      </c>
      <c r="D236" s="81" t="n">
        <f aca="false">2</f>
        <v>2</v>
      </c>
      <c r="E236" s="81" t="str">
        <f aca="false">'W Programs'!C12</f>
        <v>TLI</v>
      </c>
      <c r="F236" s="81" t="str">
        <f aca="false">'W Programs'!D12</f>
        <v>Licensing</v>
      </c>
      <c r="G236" s="145" t="n">
        <f aca="false">INDEX('W Programs'!$F$12:$H$12,1,D236)*INDEX('W Assumptions'!$D$7:$F$7,1,D236)*'W Assumptions'!E99/SUM('W Assumptions'!E$95:E$106)</f>
        <v>0.0333333333333333</v>
      </c>
      <c r="H236" s="81" t="n">
        <f aca="false">G236*INDEX('W Programs'!$I$12:$K$12,1,D236)*INDEX('W Assumptions'!$D$12:$F$12,1,D236)</f>
        <v>10000</v>
      </c>
      <c r="I236" s="81" t="n">
        <f aca="false">H236*CHOOSE(D236,'W Programs'!L12,'W Programs'!Q12,'W Programs'!R12)*INDEX('W Assumptions'!$D$17:$F$17,1,D236)</f>
        <v>1200</v>
      </c>
      <c r="J236" s="81" t="n">
        <f aca="false">H236*'W Programs'!$M$12*'W Programs'!$O$12</f>
        <v>0</v>
      </c>
      <c r="K236" s="149" t="n">
        <f aca="false">'W Programs'!$N$12</f>
        <v>0.3</v>
      </c>
      <c r="L236" s="81" t="n">
        <f aca="false">H236*K236+H208*(1-K236)</f>
        <v>10000</v>
      </c>
      <c r="M236" s="81" t="n">
        <f aca="false">L236*'W Programs'!$M$12*'W Programs'!$O$12</f>
        <v>0</v>
      </c>
      <c r="N236" s="81" t="n">
        <f aca="false">I236*'W Assumptions'!$D$55+I222*(1-'W Assumptions'!$D$55)</f>
        <v>1200</v>
      </c>
      <c r="O236" s="81" t="n">
        <f aca="false">H236-I236-J236</f>
        <v>8800</v>
      </c>
    </row>
    <row r="237" customFormat="false" ht="21" hidden="false" customHeight="true" outlineLevel="0" collapsed="false">
      <c r="C237" s="144" t="n">
        <f aca="false">46753</f>
        <v>46753</v>
      </c>
      <c r="D237" s="81" t="n">
        <f aca="false">2</f>
        <v>2</v>
      </c>
      <c r="E237" s="81" t="str">
        <f aca="false">'W Programs'!C13</f>
        <v>WOO IP</v>
      </c>
      <c r="F237" s="81" t="str">
        <f aca="false">'W Programs'!D13</f>
        <v>Schools</v>
      </c>
      <c r="G237" s="145" t="n">
        <f aca="false">INDEX('W Programs'!$F$13:$H$13,1,D237)*INDEX('W Assumptions'!$D$7:$F$7,1,D237)*'W Assumptions'!E99/SUM('W Assumptions'!E$95:E$106)</f>
        <v>0.7</v>
      </c>
      <c r="H237" s="81" t="n">
        <f aca="false">G237*INDEX('W Programs'!$I$13:$K$13,1,D237)*INDEX('W Assumptions'!$D$12:$F$12,1,D237)</f>
        <v>119000</v>
      </c>
      <c r="I237" s="81" t="n">
        <f aca="false">H237*CHOOSE(D237,'W Programs'!L13,'W Programs'!Q13,'W Programs'!R13)*INDEX('W Assumptions'!$D$17:$F$17,1,D237)</f>
        <v>47600</v>
      </c>
      <c r="J237" s="81" t="n">
        <f aca="false">H237*'W Programs'!$M$13*'W Programs'!$O$13</f>
        <v>0</v>
      </c>
      <c r="K237" s="149" t="n">
        <f aca="false">'W Programs'!$N$13</f>
        <v>0.3</v>
      </c>
      <c r="L237" s="81" t="n">
        <f aca="false">H237*K237+H209*(1-K237)</f>
        <v>119000</v>
      </c>
      <c r="M237" s="81" t="n">
        <f aca="false">L237*'W Programs'!$M$13*'W Programs'!$O$13</f>
        <v>0</v>
      </c>
      <c r="N237" s="81" t="n">
        <f aca="false">I237*'W Assumptions'!$D$55+I223*(1-'W Assumptions'!$D$55)</f>
        <v>47600</v>
      </c>
      <c r="O237" s="81" t="n">
        <f aca="false">H237-I237-J237</f>
        <v>71400</v>
      </c>
    </row>
    <row r="238" customFormat="false" ht="21" hidden="false" customHeight="true" outlineLevel="0" collapsed="false">
      <c r="C238" s="144" t="n">
        <f aca="false">46753</f>
        <v>46753</v>
      </c>
      <c r="D238" s="81" t="n">
        <f aca="false">2</f>
        <v>2</v>
      </c>
      <c r="E238" s="81" t="str">
        <f aca="false">'W Programs'!C14</f>
        <v>WOO IP</v>
      </c>
      <c r="F238" s="81" t="str">
        <f aca="false">'W Programs'!D14</f>
        <v>Activations</v>
      </c>
      <c r="G238" s="145" t="n">
        <f aca="false">INDEX('W Programs'!$F$14:$H$14,1,D238)*INDEX('W Assumptions'!$D$7:$F$7,1,D238)*'W Assumptions'!E99/SUM('W Assumptions'!E$95:E$106)</f>
        <v>0.9</v>
      </c>
      <c r="H238" s="81" t="n">
        <f aca="false">G238*INDEX('W Programs'!$I$14:$K$14,1,D238)*INDEX('W Assumptions'!$D$12:$F$12,1,D238)</f>
        <v>67500</v>
      </c>
      <c r="I238" s="81" t="n">
        <f aca="false">H238*CHOOSE(D238,'W Programs'!L14,'W Programs'!Q14,'W Programs'!R14)*INDEX('W Assumptions'!$D$17:$F$17,1,D238)</f>
        <v>35100</v>
      </c>
      <c r="J238" s="81" t="n">
        <f aca="false">H238*'W Programs'!$M$14*'W Programs'!$O$14</f>
        <v>0</v>
      </c>
      <c r="K238" s="149" t="n">
        <f aca="false">'W Programs'!$N$14</f>
        <v>0.3</v>
      </c>
      <c r="L238" s="81" t="n">
        <f aca="false">H238*K238+H210*(1-K238)</f>
        <v>67500</v>
      </c>
      <c r="M238" s="81" t="n">
        <f aca="false">L238*'W Programs'!$M$14*'W Programs'!$O$14</f>
        <v>0</v>
      </c>
      <c r="N238" s="81" t="n">
        <f aca="false">I238*'W Assumptions'!$D$55+I224*(1-'W Assumptions'!$D$55)</f>
        <v>35100</v>
      </c>
      <c r="O238" s="81" t="n">
        <f aca="false">H238-I238-J238</f>
        <v>32400</v>
      </c>
    </row>
    <row r="239" customFormat="false" ht="21" hidden="false" customHeight="true" outlineLevel="0" collapsed="false">
      <c r="C239" s="144" t="n">
        <f aca="false">46753</f>
        <v>46753</v>
      </c>
      <c r="D239" s="81" t="n">
        <f aca="false">2</f>
        <v>2</v>
      </c>
      <c r="E239" s="81" t="str">
        <f aca="false">'W Programs'!C15</f>
        <v>WOO IP</v>
      </c>
      <c r="F239" s="81" t="str">
        <f aca="false">'W Programs'!D15</f>
        <v>Workshops</v>
      </c>
      <c r="G239" s="145" t="n">
        <f aca="false">INDEX('W Programs'!$F$15:$H$15,1,D239)*INDEX('W Assumptions'!$D$7:$F$7,1,D239)*'W Assumptions'!E99/SUM('W Assumptions'!E$95:E$106)</f>
        <v>8</v>
      </c>
      <c r="H239" s="81" t="n">
        <f aca="false">G239*INDEX('W Programs'!$I$15:$K$15,1,D239)*INDEX('W Assumptions'!$D$12:$F$12,1,D239)</f>
        <v>40000</v>
      </c>
      <c r="I239" s="81" t="n">
        <f aca="false">H239*CHOOSE(D239,'W Programs'!L15,'W Programs'!Q15,'W Programs'!R15)*INDEX('W Assumptions'!$D$17:$F$17,1,D239)</f>
        <v>16800</v>
      </c>
      <c r="J239" s="81" t="n">
        <f aca="false">H239*'W Programs'!$M$15*'W Programs'!$O$15</f>
        <v>0</v>
      </c>
      <c r="K239" s="149" t="n">
        <f aca="false">'W Programs'!$N$15</f>
        <v>0.7</v>
      </c>
      <c r="L239" s="81" t="n">
        <f aca="false">H239*K239+H211*(1-K239)</f>
        <v>40000</v>
      </c>
      <c r="M239" s="81" t="n">
        <f aca="false">L239*'W Programs'!$M$15*'W Programs'!$O$15</f>
        <v>0</v>
      </c>
      <c r="N239" s="81" t="n">
        <f aca="false">I239*'W Assumptions'!$D$55+I225*(1-'W Assumptions'!$D$55)</f>
        <v>16800</v>
      </c>
      <c r="O239" s="81" t="n">
        <f aca="false">H239-I239-J239</f>
        <v>23200</v>
      </c>
    </row>
    <row r="240" customFormat="false" ht="21" hidden="false" customHeight="true" outlineLevel="0" collapsed="false">
      <c r="C240" s="144" t="n">
        <f aca="false">46753</f>
        <v>46753</v>
      </c>
      <c r="D240" s="81" t="n">
        <f aca="false">2</f>
        <v>2</v>
      </c>
      <c r="E240" s="81" t="str">
        <f aca="false">'W Programs'!C16</f>
        <v>WOO IP</v>
      </c>
      <c r="F240" s="81" t="str">
        <f aca="false">'W Programs'!D16</f>
        <v>Installations</v>
      </c>
      <c r="G240" s="145" t="n">
        <f aca="false">INDEX('W Programs'!$F$16:$H$16,1,D240)*INDEX('W Assumptions'!$D$7:$F$7,1,D240)*'W Assumptions'!E99/SUM('W Assumptions'!E$95:E$106)</f>
        <v>0.15</v>
      </c>
      <c r="H240" s="81" t="n">
        <f aca="false">G240*INDEX('W Programs'!$I$16:$K$16,1,D240)*INDEX('W Assumptions'!$D$12:$F$12,1,D240)</f>
        <v>45000</v>
      </c>
      <c r="I240" s="81" t="n">
        <f aca="false">H240*CHOOSE(D240,'W Programs'!L16,'W Programs'!Q16,'W Programs'!R16)*INDEX('W Assumptions'!$D$17:$F$17,1,D240)</f>
        <v>27000</v>
      </c>
      <c r="J240" s="81" t="n">
        <f aca="false">H240*'W Programs'!$M$16*'W Programs'!$O$16</f>
        <v>0</v>
      </c>
      <c r="K240" s="149" t="n">
        <f aca="false">'W Programs'!$N$16</f>
        <v>0.3</v>
      </c>
      <c r="L240" s="81" t="n">
        <f aca="false">H240*K240+H212*(1-K240)</f>
        <v>45000</v>
      </c>
      <c r="M240" s="81" t="n">
        <f aca="false">L240*'W Programs'!$M$16*'W Programs'!$O$16</f>
        <v>0</v>
      </c>
      <c r="N240" s="81" t="n">
        <f aca="false">I240*'W Assumptions'!$D$55+I226*(1-'W Assumptions'!$D$55)</f>
        <v>27000</v>
      </c>
      <c r="O240" s="81" t="n">
        <f aca="false">H240-I240-J240</f>
        <v>18000</v>
      </c>
    </row>
    <row r="241" customFormat="false" ht="21" hidden="false" customHeight="true" outlineLevel="0" collapsed="false">
      <c r="C241" s="144" t="n">
        <f aca="false">46753</f>
        <v>46753</v>
      </c>
      <c r="D241" s="81" t="n">
        <f aca="false">2</f>
        <v>2</v>
      </c>
      <c r="E241" s="81" t="str">
        <f aca="false">'W Programs'!C17</f>
        <v>WOO IP</v>
      </c>
      <c r="F241" s="81" t="str">
        <f aca="false">'W Programs'!D17</f>
        <v>Digital</v>
      </c>
      <c r="G241" s="145" t="n">
        <f aca="false">INDEX('W Programs'!$F$17:$H$17,1,D241)*INDEX('W Assumptions'!$D$7:$F$7,1,D241)*'W Assumptions'!E99/SUM('W Assumptions'!E$95:E$106)</f>
        <v>75</v>
      </c>
      <c r="H241" s="81" t="n">
        <f aca="false">G241*INDEX('W Programs'!$I$17:$K$17,1,D241)*INDEX('W Assumptions'!$D$12:$F$12,1,D241)</f>
        <v>26250</v>
      </c>
      <c r="I241" s="81" t="n">
        <f aca="false">H241*CHOOSE(D241,'W Programs'!L17,'W Programs'!Q17,'W Programs'!R17)*INDEX('W Assumptions'!$D$17:$F$17,1,D241)</f>
        <v>4725</v>
      </c>
      <c r="J241" s="81" t="n">
        <f aca="false">H241*'W Programs'!$M$17*'W Programs'!$O$17</f>
        <v>0</v>
      </c>
      <c r="K241" s="149" t="n">
        <f aca="false">'W Programs'!$N$17</f>
        <v>1</v>
      </c>
      <c r="L241" s="81" t="n">
        <f aca="false">H241*K241+H213*(1-K241)</f>
        <v>26250</v>
      </c>
      <c r="M241" s="81" t="n">
        <f aca="false">L241*'W Programs'!$M$17*'W Programs'!$O$17</f>
        <v>0</v>
      </c>
      <c r="N241" s="81" t="n">
        <f aca="false">I241*'W Assumptions'!$D$55+I227*(1-'W Assumptions'!$D$55)</f>
        <v>4725</v>
      </c>
      <c r="O241" s="81" t="n">
        <f aca="false">H241-I241-J241</f>
        <v>21525</v>
      </c>
    </row>
    <row r="242" customFormat="false" ht="21" hidden="false" customHeight="true" outlineLevel="0" collapsed="false">
      <c r="C242" s="144" t="n">
        <f aca="false">46753</f>
        <v>46753</v>
      </c>
      <c r="D242" s="81" t="n">
        <f aca="false">2</f>
        <v>2</v>
      </c>
      <c r="E242" s="81" t="str">
        <f aca="false">'W Programs'!C18</f>
        <v>WOO IP</v>
      </c>
      <c r="F242" s="81" t="str">
        <f aca="false">'W Programs'!D18</f>
        <v>Retail</v>
      </c>
      <c r="G242" s="145" t="n">
        <f aca="false">INDEX('W Programs'!$F$18:$H$18,1,D242)*INDEX('W Assumptions'!$D$7:$F$7,1,D242)*'W Assumptions'!E99/SUM('W Assumptions'!E$95:E$106)</f>
        <v>200</v>
      </c>
      <c r="H242" s="81" t="n">
        <f aca="false">G242*INDEX('W Programs'!$I$18:$K$18,1,D242)*INDEX('W Assumptions'!$D$12:$F$12,1,D242)</f>
        <v>50000</v>
      </c>
      <c r="I242" s="81" t="n">
        <f aca="false">H242*CHOOSE(D242,'W Programs'!L18,'W Programs'!Q18,'W Programs'!R18)*INDEX('W Assumptions'!$D$17:$F$17,1,D242)</f>
        <v>25000</v>
      </c>
      <c r="J242" s="81" t="n">
        <f aca="false">H242*'W Programs'!$M$18*'W Programs'!$O$18</f>
        <v>0</v>
      </c>
      <c r="K242" s="149" t="n">
        <f aca="false">'W Programs'!$N$18</f>
        <v>1</v>
      </c>
      <c r="L242" s="81" t="n">
        <f aca="false">H242*K242+H214*(1-K242)</f>
        <v>50000</v>
      </c>
      <c r="M242" s="81" t="n">
        <f aca="false">L242*'W Programs'!$M$18*'W Programs'!$O$18</f>
        <v>0</v>
      </c>
      <c r="N242" s="81" t="n">
        <f aca="false">I242*'W Assumptions'!$D$55+I228*(1-'W Assumptions'!$D$55)</f>
        <v>25000</v>
      </c>
      <c r="O242" s="81" t="n">
        <f aca="false">H242-I242-J242</f>
        <v>25000</v>
      </c>
    </row>
    <row r="243" customFormat="false" ht="21" hidden="false" customHeight="true" outlineLevel="0" collapsed="false">
      <c r="C243" s="144" t="n">
        <f aca="false">46753</f>
        <v>46753</v>
      </c>
      <c r="D243" s="81" t="n">
        <f aca="false">2</f>
        <v>2</v>
      </c>
      <c r="E243" s="81" t="str">
        <f aca="false">'W Programs'!C19</f>
        <v>WOO IP</v>
      </c>
      <c r="F243" s="81" t="str">
        <f aca="false">'W Programs'!D19</f>
        <v>Licensing</v>
      </c>
      <c r="G243" s="145" t="n">
        <f aca="false">INDEX('W Programs'!$F$19:$H$19,1,D243)*INDEX('W Assumptions'!$D$7:$F$7,1,D243)*'W Assumptions'!E99/SUM('W Assumptions'!E$95:E$106)</f>
        <v>0.05</v>
      </c>
      <c r="H243" s="81" t="n">
        <f aca="false">G243*INDEX('W Programs'!$I$19:$K$19,1,D243)*INDEX('W Assumptions'!$D$12:$F$12,1,D243)</f>
        <v>15000</v>
      </c>
      <c r="I243" s="81" t="n">
        <f aca="false">H243*CHOOSE(D243,'W Programs'!L19,'W Programs'!Q19,'W Programs'!R19)*INDEX('W Assumptions'!$D$17:$F$17,1,D243)</f>
        <v>1800</v>
      </c>
      <c r="J243" s="81" t="n">
        <f aca="false">H243*'W Programs'!$M$19*'W Programs'!$O$19</f>
        <v>0</v>
      </c>
      <c r="K243" s="149" t="n">
        <f aca="false">'W Programs'!$N$19</f>
        <v>0.3</v>
      </c>
      <c r="L243" s="81" t="n">
        <f aca="false">H243*K243+H215*(1-K243)</f>
        <v>15000</v>
      </c>
      <c r="M243" s="81" t="n">
        <f aca="false">L243*'W Programs'!$M$19*'W Programs'!$O$19</f>
        <v>0</v>
      </c>
      <c r="N243" s="81" t="n">
        <f aca="false">I243*'W Assumptions'!$D$55+I229*(1-'W Assumptions'!$D$55)</f>
        <v>1800</v>
      </c>
      <c r="O243" s="81" t="n">
        <f aca="false">H243-I243-J243</f>
        <v>13200</v>
      </c>
    </row>
    <row r="244" customFormat="false" ht="21" hidden="false" customHeight="true" outlineLevel="0" collapsed="false">
      <c r="C244" s="144" t="n">
        <f aca="false">46784</f>
        <v>46784</v>
      </c>
      <c r="D244" s="81" t="n">
        <f aca="false">2</f>
        <v>2</v>
      </c>
      <c r="E244" s="81" t="str">
        <f aca="false">'W Programs'!C6</f>
        <v>TLI</v>
      </c>
      <c r="F244" s="81" t="str">
        <f aca="false">'W Programs'!D6</f>
        <v>Schools</v>
      </c>
      <c r="G244" s="145" t="n">
        <f aca="false">INDEX('W Programs'!$F$6:$H$6,1,D244)*INDEX('W Assumptions'!$D$7:$F$7,1,D244)*'W Assumptions'!E100/SUM('W Assumptions'!E$95:E$106)</f>
        <v>0.466666666666667</v>
      </c>
      <c r="H244" s="81" t="n">
        <f aca="false">G244*INDEX('W Programs'!$I$6:$K$6,1,D244)*INDEX('W Assumptions'!$D$12:$F$12,1,D244)</f>
        <v>79333.3333333333</v>
      </c>
      <c r="I244" s="81" t="n">
        <f aca="false">H244*CHOOSE(D244,'W Programs'!L6,'W Programs'!Q6,'W Programs'!R6)*INDEX('W Assumptions'!$D$17:$F$17,1,D244)</f>
        <v>31733.3333333333</v>
      </c>
      <c r="J244" s="81" t="n">
        <f aca="false">H244*'W Programs'!$M$6*'W Programs'!$O$6</f>
        <v>0</v>
      </c>
      <c r="K244" s="149" t="n">
        <f aca="false">'W Programs'!$N$6</f>
        <v>0.3</v>
      </c>
      <c r="L244" s="81" t="n">
        <f aca="false">H244*K244+H216*(1-K244)</f>
        <v>79333.3333333333</v>
      </c>
      <c r="M244" s="81" t="n">
        <f aca="false">L244*'W Programs'!$M$6*'W Programs'!$O$6</f>
        <v>0</v>
      </c>
      <c r="N244" s="81" t="n">
        <f aca="false">I244*'W Assumptions'!$D$55+I230*(1-'W Assumptions'!$D$55)</f>
        <v>31733.3333333333</v>
      </c>
      <c r="O244" s="81" t="n">
        <f aca="false">H244-I244-J244</f>
        <v>47600</v>
      </c>
    </row>
    <row r="245" customFormat="false" ht="21" hidden="false" customHeight="true" outlineLevel="0" collapsed="false">
      <c r="C245" s="144" t="n">
        <f aca="false">46784</f>
        <v>46784</v>
      </c>
      <c r="D245" s="81" t="n">
        <f aca="false">2</f>
        <v>2</v>
      </c>
      <c r="E245" s="81" t="str">
        <f aca="false">'W Programs'!C7</f>
        <v>TLI</v>
      </c>
      <c r="F245" s="81" t="str">
        <f aca="false">'W Programs'!D7</f>
        <v>Activations</v>
      </c>
      <c r="G245" s="145" t="n">
        <f aca="false">INDEX('W Programs'!$F$7:$H$7,1,D245)*INDEX('W Assumptions'!$D$7:$F$7,1,D245)*'W Assumptions'!E100/SUM('W Assumptions'!E$95:E$106)</f>
        <v>0.6</v>
      </c>
      <c r="H245" s="81" t="n">
        <f aca="false">G245*INDEX('W Programs'!$I$7:$K$7,1,D245)*INDEX('W Assumptions'!$D$12:$F$12,1,D245)</f>
        <v>45000</v>
      </c>
      <c r="I245" s="81" t="n">
        <f aca="false">H245*CHOOSE(D245,'W Programs'!L7,'W Programs'!Q7,'W Programs'!R7)*INDEX('W Assumptions'!$D$17:$F$17,1,D245)</f>
        <v>23400</v>
      </c>
      <c r="J245" s="81" t="n">
        <f aca="false">H245*'W Programs'!$M$7*'W Programs'!$O$7</f>
        <v>0</v>
      </c>
      <c r="K245" s="149" t="n">
        <f aca="false">'W Programs'!$N$7</f>
        <v>0.3</v>
      </c>
      <c r="L245" s="81" t="n">
        <f aca="false">H245*K245+H217*(1-K245)</f>
        <v>45000</v>
      </c>
      <c r="M245" s="81" t="n">
        <f aca="false">L245*'W Programs'!$M$7*'W Programs'!$O$7</f>
        <v>0</v>
      </c>
      <c r="N245" s="81" t="n">
        <f aca="false">I245*'W Assumptions'!$D$55+I231*(1-'W Assumptions'!$D$55)</f>
        <v>23400</v>
      </c>
      <c r="O245" s="81" t="n">
        <f aca="false">H245-I245-J245</f>
        <v>21600</v>
      </c>
    </row>
    <row r="246" customFormat="false" ht="21" hidden="false" customHeight="true" outlineLevel="0" collapsed="false">
      <c r="C246" s="144" t="n">
        <f aca="false">46784</f>
        <v>46784</v>
      </c>
      <c r="D246" s="81" t="n">
        <f aca="false">2</f>
        <v>2</v>
      </c>
      <c r="E246" s="81" t="str">
        <f aca="false">'W Programs'!C8</f>
        <v>TLI</v>
      </c>
      <c r="F246" s="81" t="str">
        <f aca="false">'W Programs'!D8</f>
        <v>Workshops</v>
      </c>
      <c r="G246" s="145" t="n">
        <f aca="false">INDEX('W Programs'!$F$8:$H$8,1,D246)*INDEX('W Assumptions'!$D$7:$F$7,1,D246)*'W Assumptions'!E100/SUM('W Assumptions'!E$95:E$106)</f>
        <v>5.33333333333333</v>
      </c>
      <c r="H246" s="81" t="n">
        <f aca="false">G246*INDEX('W Programs'!$I$8:$K$8,1,D246)*INDEX('W Assumptions'!$D$12:$F$12,1,D246)</f>
        <v>26666.6666666667</v>
      </c>
      <c r="I246" s="81" t="n">
        <f aca="false">H246*CHOOSE(D246,'W Programs'!L8,'W Programs'!Q8,'W Programs'!R8)*INDEX('W Assumptions'!$D$17:$F$17,1,D246)</f>
        <v>11200</v>
      </c>
      <c r="J246" s="81" t="n">
        <f aca="false">H246*'W Programs'!$M$8*'W Programs'!$O$8</f>
        <v>0</v>
      </c>
      <c r="K246" s="149" t="n">
        <f aca="false">'W Programs'!$N$8</f>
        <v>0.7</v>
      </c>
      <c r="L246" s="81" t="n">
        <f aca="false">H246*K246+H218*(1-K246)</f>
        <v>26666.6666666667</v>
      </c>
      <c r="M246" s="81" t="n">
        <f aca="false">L246*'W Programs'!$M$8*'W Programs'!$O$8</f>
        <v>0</v>
      </c>
      <c r="N246" s="81" t="n">
        <f aca="false">I246*'W Assumptions'!$D$55+I232*(1-'W Assumptions'!$D$55)</f>
        <v>11200</v>
      </c>
      <c r="O246" s="81" t="n">
        <f aca="false">H246-I246-J246</f>
        <v>15466.6666666667</v>
      </c>
    </row>
    <row r="247" customFormat="false" ht="21" hidden="false" customHeight="true" outlineLevel="0" collapsed="false">
      <c r="C247" s="144" t="n">
        <f aca="false">46784</f>
        <v>46784</v>
      </c>
      <c r="D247" s="81" t="n">
        <f aca="false">2</f>
        <v>2</v>
      </c>
      <c r="E247" s="81" t="str">
        <f aca="false">'W Programs'!C9</f>
        <v>TLI</v>
      </c>
      <c r="F247" s="81" t="str">
        <f aca="false">'W Programs'!D9</f>
        <v>Installations</v>
      </c>
      <c r="G247" s="145" t="n">
        <f aca="false">INDEX('W Programs'!$F$9:$H$9,1,D247)*INDEX('W Assumptions'!$D$7:$F$7,1,D247)*'W Assumptions'!E100/SUM('W Assumptions'!E$95:E$106)</f>
        <v>0.1</v>
      </c>
      <c r="H247" s="81" t="n">
        <f aca="false">G247*INDEX('W Programs'!$I$9:$K$9,1,D247)*INDEX('W Assumptions'!$D$12:$F$12,1,D247)</f>
        <v>30000</v>
      </c>
      <c r="I247" s="81" t="n">
        <f aca="false">H247*CHOOSE(D247,'W Programs'!L9,'W Programs'!Q9,'W Programs'!R9)*INDEX('W Assumptions'!$D$17:$F$17,1,D247)</f>
        <v>18000</v>
      </c>
      <c r="J247" s="81" t="n">
        <f aca="false">H247*'W Programs'!$M$9*'W Programs'!$O$9</f>
        <v>0</v>
      </c>
      <c r="K247" s="149" t="n">
        <f aca="false">'W Programs'!$N$9</f>
        <v>0.3</v>
      </c>
      <c r="L247" s="81" t="n">
        <f aca="false">H247*K247+H219*(1-K247)</f>
        <v>30000</v>
      </c>
      <c r="M247" s="81" t="n">
        <f aca="false">L247*'W Programs'!$M$9*'W Programs'!$O$9</f>
        <v>0</v>
      </c>
      <c r="N247" s="81" t="n">
        <f aca="false">I247*'W Assumptions'!$D$55+I233*(1-'W Assumptions'!$D$55)</f>
        <v>18000</v>
      </c>
      <c r="O247" s="81" t="n">
        <f aca="false">H247-I247-J247</f>
        <v>12000</v>
      </c>
    </row>
    <row r="248" customFormat="false" ht="21" hidden="false" customHeight="true" outlineLevel="0" collapsed="false">
      <c r="C248" s="144" t="n">
        <f aca="false">46784</f>
        <v>46784</v>
      </c>
      <c r="D248" s="81" t="n">
        <f aca="false">2</f>
        <v>2</v>
      </c>
      <c r="E248" s="81" t="str">
        <f aca="false">'W Programs'!C10</f>
        <v>TLI</v>
      </c>
      <c r="F248" s="81" t="str">
        <f aca="false">'W Programs'!D10</f>
        <v>Digital</v>
      </c>
      <c r="G248" s="145" t="n">
        <f aca="false">INDEX('W Programs'!$F$10:$H$10,1,D248)*INDEX('W Assumptions'!$D$7:$F$7,1,D248)*'W Assumptions'!E100/SUM('W Assumptions'!E$95:E$106)</f>
        <v>50</v>
      </c>
      <c r="H248" s="81" t="n">
        <f aca="false">G248*INDEX('W Programs'!$I$10:$K$10,1,D248)*INDEX('W Assumptions'!$D$12:$F$12,1,D248)</f>
        <v>17500</v>
      </c>
      <c r="I248" s="81" t="n">
        <f aca="false">H248*CHOOSE(D248,'W Programs'!L10,'W Programs'!Q10,'W Programs'!R10)*INDEX('W Assumptions'!$D$17:$F$17,1,D248)</f>
        <v>3150</v>
      </c>
      <c r="J248" s="81" t="n">
        <f aca="false">H248*'W Programs'!$M$10*'W Programs'!$O$10</f>
        <v>0</v>
      </c>
      <c r="K248" s="149" t="n">
        <f aca="false">'W Programs'!$N$10</f>
        <v>1</v>
      </c>
      <c r="L248" s="81" t="n">
        <f aca="false">H248*K248+H220*(1-K248)</f>
        <v>17500</v>
      </c>
      <c r="M248" s="81" t="n">
        <f aca="false">L248*'W Programs'!$M$10*'W Programs'!$O$10</f>
        <v>0</v>
      </c>
      <c r="N248" s="81" t="n">
        <f aca="false">I248*'W Assumptions'!$D$55+I234*(1-'W Assumptions'!$D$55)</f>
        <v>3150</v>
      </c>
      <c r="O248" s="81" t="n">
        <f aca="false">H248-I248-J248</f>
        <v>14350</v>
      </c>
    </row>
    <row r="249" customFormat="false" ht="21" hidden="false" customHeight="true" outlineLevel="0" collapsed="false">
      <c r="C249" s="144" t="n">
        <f aca="false">46784</f>
        <v>46784</v>
      </c>
      <c r="D249" s="81" t="n">
        <f aca="false">2</f>
        <v>2</v>
      </c>
      <c r="E249" s="81" t="str">
        <f aca="false">'W Programs'!C11</f>
        <v>TLI</v>
      </c>
      <c r="F249" s="81" t="str">
        <f aca="false">'W Programs'!D11</f>
        <v>Retail</v>
      </c>
      <c r="G249" s="145" t="n">
        <f aca="false">INDEX('W Programs'!$F$11:$H$11,1,D249)*INDEX('W Assumptions'!$D$7:$F$7,1,D249)*'W Assumptions'!E100/SUM('W Assumptions'!E$95:E$106)</f>
        <v>133.333333333333</v>
      </c>
      <c r="H249" s="81" t="n">
        <f aca="false">G249*INDEX('W Programs'!$I$11:$K$11,1,D249)*INDEX('W Assumptions'!$D$12:$F$12,1,D249)</f>
        <v>33333.3333333333</v>
      </c>
      <c r="I249" s="81" t="n">
        <f aca="false">H249*CHOOSE(D249,'W Programs'!L11,'W Programs'!Q11,'W Programs'!R11)*INDEX('W Assumptions'!$D$17:$F$17,1,D249)</f>
        <v>16666.6666666667</v>
      </c>
      <c r="J249" s="81" t="n">
        <f aca="false">H249*'W Programs'!$M$11*'W Programs'!$O$11</f>
        <v>0</v>
      </c>
      <c r="K249" s="149" t="n">
        <f aca="false">'W Programs'!$N$11</f>
        <v>1</v>
      </c>
      <c r="L249" s="81" t="n">
        <f aca="false">H249*K249+H221*(1-K249)</f>
        <v>33333.3333333333</v>
      </c>
      <c r="M249" s="81" t="n">
        <f aca="false">L249*'W Programs'!$M$11*'W Programs'!$O$11</f>
        <v>0</v>
      </c>
      <c r="N249" s="81" t="n">
        <f aca="false">I249*'W Assumptions'!$D$55+I235*(1-'W Assumptions'!$D$55)</f>
        <v>16666.6666666667</v>
      </c>
      <c r="O249" s="81" t="n">
        <f aca="false">H249-I249-J249</f>
        <v>16666.6666666667</v>
      </c>
    </row>
    <row r="250" customFormat="false" ht="21" hidden="false" customHeight="true" outlineLevel="0" collapsed="false">
      <c r="C250" s="144" t="n">
        <f aca="false">46784</f>
        <v>46784</v>
      </c>
      <c r="D250" s="81" t="n">
        <f aca="false">2</f>
        <v>2</v>
      </c>
      <c r="E250" s="81" t="str">
        <f aca="false">'W Programs'!C12</f>
        <v>TLI</v>
      </c>
      <c r="F250" s="81" t="str">
        <f aca="false">'W Programs'!D12</f>
        <v>Licensing</v>
      </c>
      <c r="G250" s="145" t="n">
        <f aca="false">INDEX('W Programs'!$F$12:$H$12,1,D250)*INDEX('W Assumptions'!$D$7:$F$7,1,D250)*'W Assumptions'!E100/SUM('W Assumptions'!E$95:E$106)</f>
        <v>0.0333333333333333</v>
      </c>
      <c r="H250" s="81" t="n">
        <f aca="false">G250*INDEX('W Programs'!$I$12:$K$12,1,D250)*INDEX('W Assumptions'!$D$12:$F$12,1,D250)</f>
        <v>10000</v>
      </c>
      <c r="I250" s="81" t="n">
        <f aca="false">H250*CHOOSE(D250,'W Programs'!L12,'W Programs'!Q12,'W Programs'!R12)*INDEX('W Assumptions'!$D$17:$F$17,1,D250)</f>
        <v>1200</v>
      </c>
      <c r="J250" s="81" t="n">
        <f aca="false">H250*'W Programs'!$M$12*'W Programs'!$O$12</f>
        <v>0</v>
      </c>
      <c r="K250" s="149" t="n">
        <f aca="false">'W Programs'!$N$12</f>
        <v>0.3</v>
      </c>
      <c r="L250" s="81" t="n">
        <f aca="false">H250*K250+H222*(1-K250)</f>
        <v>10000</v>
      </c>
      <c r="M250" s="81" t="n">
        <f aca="false">L250*'W Programs'!$M$12*'W Programs'!$O$12</f>
        <v>0</v>
      </c>
      <c r="N250" s="81" t="n">
        <f aca="false">I250*'W Assumptions'!$D$55+I236*(1-'W Assumptions'!$D$55)</f>
        <v>1200</v>
      </c>
      <c r="O250" s="81" t="n">
        <f aca="false">H250-I250-J250</f>
        <v>8800</v>
      </c>
    </row>
    <row r="251" customFormat="false" ht="21" hidden="false" customHeight="true" outlineLevel="0" collapsed="false">
      <c r="C251" s="144" t="n">
        <f aca="false">46784</f>
        <v>46784</v>
      </c>
      <c r="D251" s="81" t="n">
        <f aca="false">2</f>
        <v>2</v>
      </c>
      <c r="E251" s="81" t="str">
        <f aca="false">'W Programs'!C13</f>
        <v>WOO IP</v>
      </c>
      <c r="F251" s="81" t="str">
        <f aca="false">'W Programs'!D13</f>
        <v>Schools</v>
      </c>
      <c r="G251" s="145" t="n">
        <f aca="false">INDEX('W Programs'!$F$13:$H$13,1,D251)*INDEX('W Assumptions'!$D$7:$F$7,1,D251)*'W Assumptions'!E100/SUM('W Assumptions'!E$95:E$106)</f>
        <v>0.7</v>
      </c>
      <c r="H251" s="81" t="n">
        <f aca="false">G251*INDEX('W Programs'!$I$13:$K$13,1,D251)*INDEX('W Assumptions'!$D$12:$F$12,1,D251)</f>
        <v>119000</v>
      </c>
      <c r="I251" s="81" t="n">
        <f aca="false">H251*CHOOSE(D251,'W Programs'!L13,'W Programs'!Q13,'W Programs'!R13)*INDEX('W Assumptions'!$D$17:$F$17,1,D251)</f>
        <v>47600</v>
      </c>
      <c r="J251" s="81" t="n">
        <f aca="false">H251*'W Programs'!$M$13*'W Programs'!$O$13</f>
        <v>0</v>
      </c>
      <c r="K251" s="149" t="n">
        <f aca="false">'W Programs'!$N$13</f>
        <v>0.3</v>
      </c>
      <c r="L251" s="81" t="n">
        <f aca="false">H251*K251+H223*(1-K251)</f>
        <v>119000</v>
      </c>
      <c r="M251" s="81" t="n">
        <f aca="false">L251*'W Programs'!$M$13*'W Programs'!$O$13</f>
        <v>0</v>
      </c>
      <c r="N251" s="81" t="n">
        <f aca="false">I251*'W Assumptions'!$D$55+I237*(1-'W Assumptions'!$D$55)</f>
        <v>47600</v>
      </c>
      <c r="O251" s="81" t="n">
        <f aca="false">H251-I251-J251</f>
        <v>71400</v>
      </c>
    </row>
    <row r="252" customFormat="false" ht="21" hidden="false" customHeight="true" outlineLevel="0" collapsed="false">
      <c r="C252" s="144" t="n">
        <f aca="false">46784</f>
        <v>46784</v>
      </c>
      <c r="D252" s="81" t="n">
        <f aca="false">2</f>
        <v>2</v>
      </c>
      <c r="E252" s="81" t="str">
        <f aca="false">'W Programs'!C14</f>
        <v>WOO IP</v>
      </c>
      <c r="F252" s="81" t="str">
        <f aca="false">'W Programs'!D14</f>
        <v>Activations</v>
      </c>
      <c r="G252" s="145" t="n">
        <f aca="false">INDEX('W Programs'!$F$14:$H$14,1,D252)*INDEX('W Assumptions'!$D$7:$F$7,1,D252)*'W Assumptions'!E100/SUM('W Assumptions'!E$95:E$106)</f>
        <v>0.9</v>
      </c>
      <c r="H252" s="81" t="n">
        <f aca="false">G252*INDEX('W Programs'!$I$14:$K$14,1,D252)*INDEX('W Assumptions'!$D$12:$F$12,1,D252)</f>
        <v>67500</v>
      </c>
      <c r="I252" s="81" t="n">
        <f aca="false">H252*CHOOSE(D252,'W Programs'!L14,'W Programs'!Q14,'W Programs'!R14)*INDEX('W Assumptions'!$D$17:$F$17,1,D252)</f>
        <v>35100</v>
      </c>
      <c r="J252" s="81" t="n">
        <f aca="false">H252*'W Programs'!$M$14*'W Programs'!$O$14</f>
        <v>0</v>
      </c>
      <c r="K252" s="149" t="n">
        <f aca="false">'W Programs'!$N$14</f>
        <v>0.3</v>
      </c>
      <c r="L252" s="81" t="n">
        <f aca="false">H252*K252+H224*(1-K252)</f>
        <v>67500</v>
      </c>
      <c r="M252" s="81" t="n">
        <f aca="false">L252*'W Programs'!$M$14*'W Programs'!$O$14</f>
        <v>0</v>
      </c>
      <c r="N252" s="81" t="n">
        <f aca="false">I252*'W Assumptions'!$D$55+I238*(1-'W Assumptions'!$D$55)</f>
        <v>35100</v>
      </c>
      <c r="O252" s="81" t="n">
        <f aca="false">H252-I252-J252</f>
        <v>32400</v>
      </c>
    </row>
    <row r="253" customFormat="false" ht="21" hidden="false" customHeight="true" outlineLevel="0" collapsed="false">
      <c r="C253" s="144" t="n">
        <f aca="false">46784</f>
        <v>46784</v>
      </c>
      <c r="D253" s="81" t="n">
        <f aca="false">2</f>
        <v>2</v>
      </c>
      <c r="E253" s="81" t="str">
        <f aca="false">'W Programs'!C15</f>
        <v>WOO IP</v>
      </c>
      <c r="F253" s="81" t="str">
        <f aca="false">'W Programs'!D15</f>
        <v>Workshops</v>
      </c>
      <c r="G253" s="145" t="n">
        <f aca="false">INDEX('W Programs'!$F$15:$H$15,1,D253)*INDEX('W Assumptions'!$D$7:$F$7,1,D253)*'W Assumptions'!E100/SUM('W Assumptions'!E$95:E$106)</f>
        <v>8</v>
      </c>
      <c r="H253" s="81" t="n">
        <f aca="false">G253*INDEX('W Programs'!$I$15:$K$15,1,D253)*INDEX('W Assumptions'!$D$12:$F$12,1,D253)</f>
        <v>40000</v>
      </c>
      <c r="I253" s="81" t="n">
        <f aca="false">H253*CHOOSE(D253,'W Programs'!L15,'W Programs'!Q15,'W Programs'!R15)*INDEX('W Assumptions'!$D$17:$F$17,1,D253)</f>
        <v>16800</v>
      </c>
      <c r="J253" s="81" t="n">
        <f aca="false">H253*'W Programs'!$M$15*'W Programs'!$O$15</f>
        <v>0</v>
      </c>
      <c r="K253" s="149" t="n">
        <f aca="false">'W Programs'!$N$15</f>
        <v>0.7</v>
      </c>
      <c r="L253" s="81" t="n">
        <f aca="false">H253*K253+H225*(1-K253)</f>
        <v>40000</v>
      </c>
      <c r="M253" s="81" t="n">
        <f aca="false">L253*'W Programs'!$M$15*'W Programs'!$O$15</f>
        <v>0</v>
      </c>
      <c r="N253" s="81" t="n">
        <f aca="false">I253*'W Assumptions'!$D$55+I239*(1-'W Assumptions'!$D$55)</f>
        <v>16800</v>
      </c>
      <c r="O253" s="81" t="n">
        <f aca="false">H253-I253-J253</f>
        <v>23200</v>
      </c>
    </row>
    <row r="254" customFormat="false" ht="21" hidden="false" customHeight="true" outlineLevel="0" collapsed="false">
      <c r="C254" s="144" t="n">
        <f aca="false">46784</f>
        <v>46784</v>
      </c>
      <c r="D254" s="81" t="n">
        <f aca="false">2</f>
        <v>2</v>
      </c>
      <c r="E254" s="81" t="str">
        <f aca="false">'W Programs'!C16</f>
        <v>WOO IP</v>
      </c>
      <c r="F254" s="81" t="str">
        <f aca="false">'W Programs'!D16</f>
        <v>Installations</v>
      </c>
      <c r="G254" s="145" t="n">
        <f aca="false">INDEX('W Programs'!$F$16:$H$16,1,D254)*INDEX('W Assumptions'!$D$7:$F$7,1,D254)*'W Assumptions'!E100/SUM('W Assumptions'!E$95:E$106)</f>
        <v>0.15</v>
      </c>
      <c r="H254" s="81" t="n">
        <f aca="false">G254*INDEX('W Programs'!$I$16:$K$16,1,D254)*INDEX('W Assumptions'!$D$12:$F$12,1,D254)</f>
        <v>45000</v>
      </c>
      <c r="I254" s="81" t="n">
        <f aca="false">H254*CHOOSE(D254,'W Programs'!L16,'W Programs'!Q16,'W Programs'!R16)*INDEX('W Assumptions'!$D$17:$F$17,1,D254)</f>
        <v>27000</v>
      </c>
      <c r="J254" s="81" t="n">
        <f aca="false">H254*'W Programs'!$M$16*'W Programs'!$O$16</f>
        <v>0</v>
      </c>
      <c r="K254" s="149" t="n">
        <f aca="false">'W Programs'!$N$16</f>
        <v>0.3</v>
      </c>
      <c r="L254" s="81" t="n">
        <f aca="false">H254*K254+H226*(1-K254)</f>
        <v>45000</v>
      </c>
      <c r="M254" s="81" t="n">
        <f aca="false">L254*'W Programs'!$M$16*'W Programs'!$O$16</f>
        <v>0</v>
      </c>
      <c r="N254" s="81" t="n">
        <f aca="false">I254*'W Assumptions'!$D$55+I240*(1-'W Assumptions'!$D$55)</f>
        <v>27000</v>
      </c>
      <c r="O254" s="81" t="n">
        <f aca="false">H254-I254-J254</f>
        <v>18000</v>
      </c>
    </row>
    <row r="255" customFormat="false" ht="21" hidden="false" customHeight="true" outlineLevel="0" collapsed="false">
      <c r="C255" s="144" t="n">
        <f aca="false">46784</f>
        <v>46784</v>
      </c>
      <c r="D255" s="81" t="n">
        <f aca="false">2</f>
        <v>2</v>
      </c>
      <c r="E255" s="81" t="str">
        <f aca="false">'W Programs'!C17</f>
        <v>WOO IP</v>
      </c>
      <c r="F255" s="81" t="str">
        <f aca="false">'W Programs'!D17</f>
        <v>Digital</v>
      </c>
      <c r="G255" s="145" t="n">
        <f aca="false">INDEX('W Programs'!$F$17:$H$17,1,D255)*INDEX('W Assumptions'!$D$7:$F$7,1,D255)*'W Assumptions'!E100/SUM('W Assumptions'!E$95:E$106)</f>
        <v>75</v>
      </c>
      <c r="H255" s="81" t="n">
        <f aca="false">G255*INDEX('W Programs'!$I$17:$K$17,1,D255)*INDEX('W Assumptions'!$D$12:$F$12,1,D255)</f>
        <v>26250</v>
      </c>
      <c r="I255" s="81" t="n">
        <f aca="false">H255*CHOOSE(D255,'W Programs'!L17,'W Programs'!Q17,'W Programs'!R17)*INDEX('W Assumptions'!$D$17:$F$17,1,D255)</f>
        <v>4725</v>
      </c>
      <c r="J255" s="81" t="n">
        <f aca="false">H255*'W Programs'!$M$17*'W Programs'!$O$17</f>
        <v>0</v>
      </c>
      <c r="K255" s="149" t="n">
        <f aca="false">'W Programs'!$N$17</f>
        <v>1</v>
      </c>
      <c r="L255" s="81" t="n">
        <f aca="false">H255*K255+H227*(1-K255)</f>
        <v>26250</v>
      </c>
      <c r="M255" s="81" t="n">
        <f aca="false">L255*'W Programs'!$M$17*'W Programs'!$O$17</f>
        <v>0</v>
      </c>
      <c r="N255" s="81" t="n">
        <f aca="false">I255*'W Assumptions'!$D$55+I241*(1-'W Assumptions'!$D$55)</f>
        <v>4725</v>
      </c>
      <c r="O255" s="81" t="n">
        <f aca="false">H255-I255-J255</f>
        <v>21525</v>
      </c>
    </row>
    <row r="256" customFormat="false" ht="21" hidden="false" customHeight="true" outlineLevel="0" collapsed="false">
      <c r="C256" s="144" t="n">
        <f aca="false">46784</f>
        <v>46784</v>
      </c>
      <c r="D256" s="81" t="n">
        <f aca="false">2</f>
        <v>2</v>
      </c>
      <c r="E256" s="81" t="str">
        <f aca="false">'W Programs'!C18</f>
        <v>WOO IP</v>
      </c>
      <c r="F256" s="81" t="str">
        <f aca="false">'W Programs'!D18</f>
        <v>Retail</v>
      </c>
      <c r="G256" s="145" t="n">
        <f aca="false">INDEX('W Programs'!$F$18:$H$18,1,D256)*INDEX('W Assumptions'!$D$7:$F$7,1,D256)*'W Assumptions'!E100/SUM('W Assumptions'!E$95:E$106)</f>
        <v>200</v>
      </c>
      <c r="H256" s="81" t="n">
        <f aca="false">G256*INDEX('W Programs'!$I$18:$K$18,1,D256)*INDEX('W Assumptions'!$D$12:$F$12,1,D256)</f>
        <v>50000</v>
      </c>
      <c r="I256" s="81" t="n">
        <f aca="false">H256*CHOOSE(D256,'W Programs'!L18,'W Programs'!Q18,'W Programs'!R18)*INDEX('W Assumptions'!$D$17:$F$17,1,D256)</f>
        <v>25000</v>
      </c>
      <c r="J256" s="81" t="n">
        <f aca="false">H256*'W Programs'!$M$18*'W Programs'!$O$18</f>
        <v>0</v>
      </c>
      <c r="K256" s="149" t="n">
        <f aca="false">'W Programs'!$N$18</f>
        <v>1</v>
      </c>
      <c r="L256" s="81" t="n">
        <f aca="false">H256*K256+H228*(1-K256)</f>
        <v>50000</v>
      </c>
      <c r="M256" s="81" t="n">
        <f aca="false">L256*'W Programs'!$M$18*'W Programs'!$O$18</f>
        <v>0</v>
      </c>
      <c r="N256" s="81" t="n">
        <f aca="false">I256*'W Assumptions'!$D$55+I242*(1-'W Assumptions'!$D$55)</f>
        <v>25000</v>
      </c>
      <c r="O256" s="81" t="n">
        <f aca="false">H256-I256-J256</f>
        <v>25000</v>
      </c>
    </row>
    <row r="257" customFormat="false" ht="21" hidden="false" customHeight="true" outlineLevel="0" collapsed="false">
      <c r="C257" s="144" t="n">
        <f aca="false">46784</f>
        <v>46784</v>
      </c>
      <c r="D257" s="81" t="n">
        <f aca="false">2</f>
        <v>2</v>
      </c>
      <c r="E257" s="81" t="str">
        <f aca="false">'W Programs'!C19</f>
        <v>WOO IP</v>
      </c>
      <c r="F257" s="81" t="str">
        <f aca="false">'W Programs'!D19</f>
        <v>Licensing</v>
      </c>
      <c r="G257" s="145" t="n">
        <f aca="false">INDEX('W Programs'!$F$19:$H$19,1,D257)*INDEX('W Assumptions'!$D$7:$F$7,1,D257)*'W Assumptions'!E100/SUM('W Assumptions'!E$95:E$106)</f>
        <v>0.05</v>
      </c>
      <c r="H257" s="81" t="n">
        <f aca="false">G257*INDEX('W Programs'!$I$19:$K$19,1,D257)*INDEX('W Assumptions'!$D$12:$F$12,1,D257)</f>
        <v>15000</v>
      </c>
      <c r="I257" s="81" t="n">
        <f aca="false">H257*CHOOSE(D257,'W Programs'!L19,'W Programs'!Q19,'W Programs'!R19)*INDEX('W Assumptions'!$D$17:$F$17,1,D257)</f>
        <v>1800</v>
      </c>
      <c r="J257" s="81" t="n">
        <f aca="false">H257*'W Programs'!$M$19*'W Programs'!$O$19</f>
        <v>0</v>
      </c>
      <c r="K257" s="149" t="n">
        <f aca="false">'W Programs'!$N$19</f>
        <v>0.3</v>
      </c>
      <c r="L257" s="81" t="n">
        <f aca="false">H257*K257+H229*(1-K257)</f>
        <v>15000</v>
      </c>
      <c r="M257" s="81" t="n">
        <f aca="false">L257*'W Programs'!$M$19*'W Programs'!$O$19</f>
        <v>0</v>
      </c>
      <c r="N257" s="81" t="n">
        <f aca="false">I257*'W Assumptions'!$D$55+I243*(1-'W Assumptions'!$D$55)</f>
        <v>1800</v>
      </c>
      <c r="O257" s="81" t="n">
        <f aca="false">H257-I257-J257</f>
        <v>13200</v>
      </c>
    </row>
    <row r="258" customFormat="false" ht="21" hidden="false" customHeight="true" outlineLevel="0" collapsed="false">
      <c r="C258" s="144" t="n">
        <f aca="false">46813</f>
        <v>46813</v>
      </c>
      <c r="D258" s="81" t="n">
        <f aca="false">2</f>
        <v>2</v>
      </c>
      <c r="E258" s="81" t="str">
        <f aca="false">'W Programs'!C6</f>
        <v>TLI</v>
      </c>
      <c r="F258" s="81" t="str">
        <f aca="false">'W Programs'!D6</f>
        <v>Schools</v>
      </c>
      <c r="G258" s="145" t="n">
        <f aca="false">INDEX('W Programs'!$F$6:$H$6,1,D258)*INDEX('W Assumptions'!$D$7:$F$7,1,D258)*'W Assumptions'!E101/SUM('W Assumptions'!E$95:E$106)</f>
        <v>0.466666666666667</v>
      </c>
      <c r="H258" s="81" t="n">
        <f aca="false">G258*INDEX('W Programs'!$I$6:$K$6,1,D258)*INDEX('W Assumptions'!$D$12:$F$12,1,D258)</f>
        <v>79333.3333333333</v>
      </c>
      <c r="I258" s="81" t="n">
        <f aca="false">H258*CHOOSE(D258,'W Programs'!L6,'W Programs'!Q6,'W Programs'!R6)*INDEX('W Assumptions'!$D$17:$F$17,1,D258)</f>
        <v>31733.3333333333</v>
      </c>
      <c r="J258" s="81" t="n">
        <f aca="false">H258*'W Programs'!$M$6*'W Programs'!$O$6</f>
        <v>0</v>
      </c>
      <c r="K258" s="149" t="n">
        <f aca="false">'W Programs'!$N$6</f>
        <v>0.3</v>
      </c>
      <c r="L258" s="81" t="n">
        <f aca="false">H258*K258+H230*(1-K258)</f>
        <v>79333.3333333333</v>
      </c>
      <c r="M258" s="81" t="n">
        <f aca="false">L258*'W Programs'!$M$6*'W Programs'!$O$6</f>
        <v>0</v>
      </c>
      <c r="N258" s="81" t="n">
        <f aca="false">I258*'W Assumptions'!$D$55+I244*(1-'W Assumptions'!$D$55)</f>
        <v>31733.3333333333</v>
      </c>
      <c r="O258" s="81" t="n">
        <f aca="false">H258-I258-J258</f>
        <v>47600</v>
      </c>
    </row>
    <row r="259" customFormat="false" ht="21" hidden="false" customHeight="true" outlineLevel="0" collapsed="false">
      <c r="C259" s="144" t="n">
        <f aca="false">46813</f>
        <v>46813</v>
      </c>
      <c r="D259" s="81" t="n">
        <f aca="false">2</f>
        <v>2</v>
      </c>
      <c r="E259" s="81" t="str">
        <f aca="false">'W Programs'!C7</f>
        <v>TLI</v>
      </c>
      <c r="F259" s="81" t="str">
        <f aca="false">'W Programs'!D7</f>
        <v>Activations</v>
      </c>
      <c r="G259" s="145" t="n">
        <f aca="false">INDEX('W Programs'!$F$7:$H$7,1,D259)*INDEX('W Assumptions'!$D$7:$F$7,1,D259)*'W Assumptions'!E101/SUM('W Assumptions'!E$95:E$106)</f>
        <v>0.6</v>
      </c>
      <c r="H259" s="81" t="n">
        <f aca="false">G259*INDEX('W Programs'!$I$7:$K$7,1,D259)*INDEX('W Assumptions'!$D$12:$F$12,1,D259)</f>
        <v>45000</v>
      </c>
      <c r="I259" s="81" t="n">
        <f aca="false">H259*CHOOSE(D259,'W Programs'!L7,'W Programs'!Q7,'W Programs'!R7)*INDEX('W Assumptions'!$D$17:$F$17,1,D259)</f>
        <v>23400</v>
      </c>
      <c r="J259" s="81" t="n">
        <f aca="false">H259*'W Programs'!$M$7*'W Programs'!$O$7</f>
        <v>0</v>
      </c>
      <c r="K259" s="149" t="n">
        <f aca="false">'W Programs'!$N$7</f>
        <v>0.3</v>
      </c>
      <c r="L259" s="81" t="n">
        <f aca="false">H259*K259+H231*(1-K259)</f>
        <v>45000</v>
      </c>
      <c r="M259" s="81" t="n">
        <f aca="false">L259*'W Programs'!$M$7*'W Programs'!$O$7</f>
        <v>0</v>
      </c>
      <c r="N259" s="81" t="n">
        <f aca="false">I259*'W Assumptions'!$D$55+I245*(1-'W Assumptions'!$D$55)</f>
        <v>23400</v>
      </c>
      <c r="O259" s="81" t="n">
        <f aca="false">H259-I259-J259</f>
        <v>21600</v>
      </c>
    </row>
    <row r="260" customFormat="false" ht="21" hidden="false" customHeight="true" outlineLevel="0" collapsed="false">
      <c r="C260" s="144" t="n">
        <f aca="false">46813</f>
        <v>46813</v>
      </c>
      <c r="D260" s="81" t="n">
        <f aca="false">2</f>
        <v>2</v>
      </c>
      <c r="E260" s="81" t="str">
        <f aca="false">'W Programs'!C8</f>
        <v>TLI</v>
      </c>
      <c r="F260" s="81" t="str">
        <f aca="false">'W Programs'!D8</f>
        <v>Workshops</v>
      </c>
      <c r="G260" s="145" t="n">
        <f aca="false">INDEX('W Programs'!$F$8:$H$8,1,D260)*INDEX('W Assumptions'!$D$7:$F$7,1,D260)*'W Assumptions'!E101/SUM('W Assumptions'!E$95:E$106)</f>
        <v>5.33333333333333</v>
      </c>
      <c r="H260" s="81" t="n">
        <f aca="false">G260*INDEX('W Programs'!$I$8:$K$8,1,D260)*INDEX('W Assumptions'!$D$12:$F$12,1,D260)</f>
        <v>26666.6666666667</v>
      </c>
      <c r="I260" s="81" t="n">
        <f aca="false">H260*CHOOSE(D260,'W Programs'!L8,'W Programs'!Q8,'W Programs'!R8)*INDEX('W Assumptions'!$D$17:$F$17,1,D260)</f>
        <v>11200</v>
      </c>
      <c r="J260" s="81" t="n">
        <f aca="false">H260*'W Programs'!$M$8*'W Programs'!$O$8</f>
        <v>0</v>
      </c>
      <c r="K260" s="149" t="n">
        <f aca="false">'W Programs'!$N$8</f>
        <v>0.7</v>
      </c>
      <c r="L260" s="81" t="n">
        <f aca="false">H260*K260+H232*(1-K260)</f>
        <v>26666.6666666667</v>
      </c>
      <c r="M260" s="81" t="n">
        <f aca="false">L260*'W Programs'!$M$8*'W Programs'!$O$8</f>
        <v>0</v>
      </c>
      <c r="N260" s="81" t="n">
        <f aca="false">I260*'W Assumptions'!$D$55+I246*(1-'W Assumptions'!$D$55)</f>
        <v>11200</v>
      </c>
      <c r="O260" s="81" t="n">
        <f aca="false">H260-I260-J260</f>
        <v>15466.6666666667</v>
      </c>
    </row>
    <row r="261" customFormat="false" ht="21" hidden="false" customHeight="true" outlineLevel="0" collapsed="false">
      <c r="C261" s="144" t="n">
        <f aca="false">46813</f>
        <v>46813</v>
      </c>
      <c r="D261" s="81" t="n">
        <f aca="false">2</f>
        <v>2</v>
      </c>
      <c r="E261" s="81" t="str">
        <f aca="false">'W Programs'!C9</f>
        <v>TLI</v>
      </c>
      <c r="F261" s="81" t="str">
        <f aca="false">'W Programs'!D9</f>
        <v>Installations</v>
      </c>
      <c r="G261" s="145" t="n">
        <f aca="false">INDEX('W Programs'!$F$9:$H$9,1,D261)*INDEX('W Assumptions'!$D$7:$F$7,1,D261)*'W Assumptions'!E101/SUM('W Assumptions'!E$95:E$106)</f>
        <v>0.1</v>
      </c>
      <c r="H261" s="81" t="n">
        <f aca="false">G261*INDEX('W Programs'!$I$9:$K$9,1,D261)*INDEX('W Assumptions'!$D$12:$F$12,1,D261)</f>
        <v>30000</v>
      </c>
      <c r="I261" s="81" t="n">
        <f aca="false">H261*CHOOSE(D261,'W Programs'!L9,'W Programs'!Q9,'W Programs'!R9)*INDEX('W Assumptions'!$D$17:$F$17,1,D261)</f>
        <v>18000</v>
      </c>
      <c r="J261" s="81" t="n">
        <f aca="false">H261*'W Programs'!$M$9*'W Programs'!$O$9</f>
        <v>0</v>
      </c>
      <c r="K261" s="149" t="n">
        <f aca="false">'W Programs'!$N$9</f>
        <v>0.3</v>
      </c>
      <c r="L261" s="81" t="n">
        <f aca="false">H261*K261+H233*(1-K261)</f>
        <v>30000</v>
      </c>
      <c r="M261" s="81" t="n">
        <f aca="false">L261*'W Programs'!$M$9*'W Programs'!$O$9</f>
        <v>0</v>
      </c>
      <c r="N261" s="81" t="n">
        <f aca="false">I261*'W Assumptions'!$D$55+I247*(1-'W Assumptions'!$D$55)</f>
        <v>18000</v>
      </c>
      <c r="O261" s="81" t="n">
        <f aca="false">H261-I261-J261</f>
        <v>12000</v>
      </c>
    </row>
    <row r="262" customFormat="false" ht="21" hidden="false" customHeight="true" outlineLevel="0" collapsed="false">
      <c r="C262" s="144" t="n">
        <f aca="false">46813</f>
        <v>46813</v>
      </c>
      <c r="D262" s="81" t="n">
        <f aca="false">2</f>
        <v>2</v>
      </c>
      <c r="E262" s="81" t="str">
        <f aca="false">'W Programs'!C10</f>
        <v>TLI</v>
      </c>
      <c r="F262" s="81" t="str">
        <f aca="false">'W Programs'!D10</f>
        <v>Digital</v>
      </c>
      <c r="G262" s="145" t="n">
        <f aca="false">INDEX('W Programs'!$F$10:$H$10,1,D262)*INDEX('W Assumptions'!$D$7:$F$7,1,D262)*'W Assumptions'!E101/SUM('W Assumptions'!E$95:E$106)</f>
        <v>50</v>
      </c>
      <c r="H262" s="81" t="n">
        <f aca="false">G262*INDEX('W Programs'!$I$10:$K$10,1,D262)*INDEX('W Assumptions'!$D$12:$F$12,1,D262)</f>
        <v>17500</v>
      </c>
      <c r="I262" s="81" t="n">
        <f aca="false">H262*CHOOSE(D262,'W Programs'!L10,'W Programs'!Q10,'W Programs'!R10)*INDEX('W Assumptions'!$D$17:$F$17,1,D262)</f>
        <v>3150</v>
      </c>
      <c r="J262" s="81" t="n">
        <f aca="false">H262*'W Programs'!$M$10*'W Programs'!$O$10</f>
        <v>0</v>
      </c>
      <c r="K262" s="149" t="n">
        <f aca="false">'W Programs'!$N$10</f>
        <v>1</v>
      </c>
      <c r="L262" s="81" t="n">
        <f aca="false">H262*K262+H234*(1-K262)</f>
        <v>17500</v>
      </c>
      <c r="M262" s="81" t="n">
        <f aca="false">L262*'W Programs'!$M$10*'W Programs'!$O$10</f>
        <v>0</v>
      </c>
      <c r="N262" s="81" t="n">
        <f aca="false">I262*'W Assumptions'!$D$55+I248*(1-'W Assumptions'!$D$55)</f>
        <v>3150</v>
      </c>
      <c r="O262" s="81" t="n">
        <f aca="false">H262-I262-J262</f>
        <v>14350</v>
      </c>
    </row>
    <row r="263" customFormat="false" ht="21" hidden="false" customHeight="true" outlineLevel="0" collapsed="false">
      <c r="C263" s="144" t="n">
        <f aca="false">46813</f>
        <v>46813</v>
      </c>
      <c r="D263" s="81" t="n">
        <f aca="false">2</f>
        <v>2</v>
      </c>
      <c r="E263" s="81" t="str">
        <f aca="false">'W Programs'!C11</f>
        <v>TLI</v>
      </c>
      <c r="F263" s="81" t="str">
        <f aca="false">'W Programs'!D11</f>
        <v>Retail</v>
      </c>
      <c r="G263" s="145" t="n">
        <f aca="false">INDEX('W Programs'!$F$11:$H$11,1,D263)*INDEX('W Assumptions'!$D$7:$F$7,1,D263)*'W Assumptions'!E101/SUM('W Assumptions'!E$95:E$106)</f>
        <v>133.333333333333</v>
      </c>
      <c r="H263" s="81" t="n">
        <f aca="false">G263*INDEX('W Programs'!$I$11:$K$11,1,D263)*INDEX('W Assumptions'!$D$12:$F$12,1,D263)</f>
        <v>33333.3333333333</v>
      </c>
      <c r="I263" s="81" t="n">
        <f aca="false">H263*CHOOSE(D263,'W Programs'!L11,'W Programs'!Q11,'W Programs'!R11)*INDEX('W Assumptions'!$D$17:$F$17,1,D263)</f>
        <v>16666.6666666667</v>
      </c>
      <c r="J263" s="81" t="n">
        <f aca="false">H263*'W Programs'!$M$11*'W Programs'!$O$11</f>
        <v>0</v>
      </c>
      <c r="K263" s="149" t="n">
        <f aca="false">'W Programs'!$N$11</f>
        <v>1</v>
      </c>
      <c r="L263" s="81" t="n">
        <f aca="false">H263*K263+H235*(1-K263)</f>
        <v>33333.3333333333</v>
      </c>
      <c r="M263" s="81" t="n">
        <f aca="false">L263*'W Programs'!$M$11*'W Programs'!$O$11</f>
        <v>0</v>
      </c>
      <c r="N263" s="81" t="n">
        <f aca="false">I263*'W Assumptions'!$D$55+I249*(1-'W Assumptions'!$D$55)</f>
        <v>16666.6666666667</v>
      </c>
      <c r="O263" s="81" t="n">
        <f aca="false">H263-I263-J263</f>
        <v>16666.6666666667</v>
      </c>
    </row>
    <row r="264" customFormat="false" ht="21" hidden="false" customHeight="true" outlineLevel="0" collapsed="false">
      <c r="C264" s="144" t="n">
        <f aca="false">46813</f>
        <v>46813</v>
      </c>
      <c r="D264" s="81" t="n">
        <f aca="false">2</f>
        <v>2</v>
      </c>
      <c r="E264" s="81" t="str">
        <f aca="false">'W Programs'!C12</f>
        <v>TLI</v>
      </c>
      <c r="F264" s="81" t="str">
        <f aca="false">'W Programs'!D12</f>
        <v>Licensing</v>
      </c>
      <c r="G264" s="145" t="n">
        <f aca="false">INDEX('W Programs'!$F$12:$H$12,1,D264)*INDEX('W Assumptions'!$D$7:$F$7,1,D264)*'W Assumptions'!E101/SUM('W Assumptions'!E$95:E$106)</f>
        <v>0.0333333333333333</v>
      </c>
      <c r="H264" s="81" t="n">
        <f aca="false">G264*INDEX('W Programs'!$I$12:$K$12,1,D264)*INDEX('W Assumptions'!$D$12:$F$12,1,D264)</f>
        <v>10000</v>
      </c>
      <c r="I264" s="81" t="n">
        <f aca="false">H264*CHOOSE(D264,'W Programs'!L12,'W Programs'!Q12,'W Programs'!R12)*INDEX('W Assumptions'!$D$17:$F$17,1,D264)</f>
        <v>1200</v>
      </c>
      <c r="J264" s="81" t="n">
        <f aca="false">H264*'W Programs'!$M$12*'W Programs'!$O$12</f>
        <v>0</v>
      </c>
      <c r="K264" s="149" t="n">
        <f aca="false">'W Programs'!$N$12</f>
        <v>0.3</v>
      </c>
      <c r="L264" s="81" t="n">
        <f aca="false">H264*K264+H236*(1-K264)</f>
        <v>10000</v>
      </c>
      <c r="M264" s="81" t="n">
        <f aca="false">L264*'W Programs'!$M$12*'W Programs'!$O$12</f>
        <v>0</v>
      </c>
      <c r="N264" s="81" t="n">
        <f aca="false">I264*'W Assumptions'!$D$55+I250*(1-'W Assumptions'!$D$55)</f>
        <v>1200</v>
      </c>
      <c r="O264" s="81" t="n">
        <f aca="false">H264-I264-J264</f>
        <v>8800</v>
      </c>
    </row>
    <row r="265" customFormat="false" ht="21" hidden="false" customHeight="true" outlineLevel="0" collapsed="false">
      <c r="C265" s="144" t="n">
        <f aca="false">46813</f>
        <v>46813</v>
      </c>
      <c r="D265" s="81" t="n">
        <f aca="false">2</f>
        <v>2</v>
      </c>
      <c r="E265" s="81" t="str">
        <f aca="false">'W Programs'!C13</f>
        <v>WOO IP</v>
      </c>
      <c r="F265" s="81" t="str">
        <f aca="false">'W Programs'!D13</f>
        <v>Schools</v>
      </c>
      <c r="G265" s="145" t="n">
        <f aca="false">INDEX('W Programs'!$F$13:$H$13,1,D265)*INDEX('W Assumptions'!$D$7:$F$7,1,D265)*'W Assumptions'!E101/SUM('W Assumptions'!E$95:E$106)</f>
        <v>0.7</v>
      </c>
      <c r="H265" s="81" t="n">
        <f aca="false">G265*INDEX('W Programs'!$I$13:$K$13,1,D265)*INDEX('W Assumptions'!$D$12:$F$12,1,D265)</f>
        <v>119000</v>
      </c>
      <c r="I265" s="81" t="n">
        <f aca="false">H265*CHOOSE(D265,'W Programs'!L13,'W Programs'!Q13,'W Programs'!R13)*INDEX('W Assumptions'!$D$17:$F$17,1,D265)</f>
        <v>47600</v>
      </c>
      <c r="J265" s="81" t="n">
        <f aca="false">H265*'W Programs'!$M$13*'W Programs'!$O$13</f>
        <v>0</v>
      </c>
      <c r="K265" s="149" t="n">
        <f aca="false">'W Programs'!$N$13</f>
        <v>0.3</v>
      </c>
      <c r="L265" s="81" t="n">
        <f aca="false">H265*K265+H237*(1-K265)</f>
        <v>119000</v>
      </c>
      <c r="M265" s="81" t="n">
        <f aca="false">L265*'W Programs'!$M$13*'W Programs'!$O$13</f>
        <v>0</v>
      </c>
      <c r="N265" s="81" t="n">
        <f aca="false">I265*'W Assumptions'!$D$55+I251*(1-'W Assumptions'!$D$55)</f>
        <v>47600</v>
      </c>
      <c r="O265" s="81" t="n">
        <f aca="false">H265-I265-J265</f>
        <v>71400</v>
      </c>
    </row>
    <row r="266" customFormat="false" ht="21" hidden="false" customHeight="true" outlineLevel="0" collapsed="false">
      <c r="C266" s="144" t="n">
        <f aca="false">46813</f>
        <v>46813</v>
      </c>
      <c r="D266" s="81" t="n">
        <f aca="false">2</f>
        <v>2</v>
      </c>
      <c r="E266" s="81" t="str">
        <f aca="false">'W Programs'!C14</f>
        <v>WOO IP</v>
      </c>
      <c r="F266" s="81" t="str">
        <f aca="false">'W Programs'!D14</f>
        <v>Activations</v>
      </c>
      <c r="G266" s="145" t="n">
        <f aca="false">INDEX('W Programs'!$F$14:$H$14,1,D266)*INDEX('W Assumptions'!$D$7:$F$7,1,D266)*'W Assumptions'!E101/SUM('W Assumptions'!E$95:E$106)</f>
        <v>0.9</v>
      </c>
      <c r="H266" s="81" t="n">
        <f aca="false">G266*INDEX('W Programs'!$I$14:$K$14,1,D266)*INDEX('W Assumptions'!$D$12:$F$12,1,D266)</f>
        <v>67500</v>
      </c>
      <c r="I266" s="81" t="n">
        <f aca="false">H266*CHOOSE(D266,'W Programs'!L14,'W Programs'!Q14,'W Programs'!R14)*INDEX('W Assumptions'!$D$17:$F$17,1,D266)</f>
        <v>35100</v>
      </c>
      <c r="J266" s="81" t="n">
        <f aca="false">H266*'W Programs'!$M$14*'W Programs'!$O$14</f>
        <v>0</v>
      </c>
      <c r="K266" s="149" t="n">
        <f aca="false">'W Programs'!$N$14</f>
        <v>0.3</v>
      </c>
      <c r="L266" s="81" t="n">
        <f aca="false">H266*K266+H238*(1-K266)</f>
        <v>67500</v>
      </c>
      <c r="M266" s="81" t="n">
        <f aca="false">L266*'W Programs'!$M$14*'W Programs'!$O$14</f>
        <v>0</v>
      </c>
      <c r="N266" s="81" t="n">
        <f aca="false">I266*'W Assumptions'!$D$55+I252*(1-'W Assumptions'!$D$55)</f>
        <v>35100</v>
      </c>
      <c r="O266" s="81" t="n">
        <f aca="false">H266-I266-J266</f>
        <v>32400</v>
      </c>
    </row>
    <row r="267" customFormat="false" ht="21" hidden="false" customHeight="true" outlineLevel="0" collapsed="false">
      <c r="C267" s="144" t="n">
        <f aca="false">46813</f>
        <v>46813</v>
      </c>
      <c r="D267" s="81" t="n">
        <f aca="false">2</f>
        <v>2</v>
      </c>
      <c r="E267" s="81" t="str">
        <f aca="false">'W Programs'!C15</f>
        <v>WOO IP</v>
      </c>
      <c r="F267" s="81" t="str">
        <f aca="false">'W Programs'!D15</f>
        <v>Workshops</v>
      </c>
      <c r="G267" s="145" t="n">
        <f aca="false">INDEX('W Programs'!$F$15:$H$15,1,D267)*INDEX('W Assumptions'!$D$7:$F$7,1,D267)*'W Assumptions'!E101/SUM('W Assumptions'!E$95:E$106)</f>
        <v>8</v>
      </c>
      <c r="H267" s="81" t="n">
        <f aca="false">G267*INDEX('W Programs'!$I$15:$K$15,1,D267)*INDEX('W Assumptions'!$D$12:$F$12,1,D267)</f>
        <v>40000</v>
      </c>
      <c r="I267" s="81" t="n">
        <f aca="false">H267*CHOOSE(D267,'W Programs'!L15,'W Programs'!Q15,'W Programs'!R15)*INDEX('W Assumptions'!$D$17:$F$17,1,D267)</f>
        <v>16800</v>
      </c>
      <c r="J267" s="81" t="n">
        <f aca="false">H267*'W Programs'!$M$15*'W Programs'!$O$15</f>
        <v>0</v>
      </c>
      <c r="K267" s="149" t="n">
        <f aca="false">'W Programs'!$N$15</f>
        <v>0.7</v>
      </c>
      <c r="L267" s="81" t="n">
        <f aca="false">H267*K267+H239*(1-K267)</f>
        <v>40000</v>
      </c>
      <c r="M267" s="81" t="n">
        <f aca="false">L267*'W Programs'!$M$15*'W Programs'!$O$15</f>
        <v>0</v>
      </c>
      <c r="N267" s="81" t="n">
        <f aca="false">I267*'W Assumptions'!$D$55+I253*(1-'W Assumptions'!$D$55)</f>
        <v>16800</v>
      </c>
      <c r="O267" s="81" t="n">
        <f aca="false">H267-I267-J267</f>
        <v>23200</v>
      </c>
    </row>
    <row r="268" customFormat="false" ht="21" hidden="false" customHeight="true" outlineLevel="0" collapsed="false">
      <c r="C268" s="144" t="n">
        <f aca="false">46813</f>
        <v>46813</v>
      </c>
      <c r="D268" s="81" t="n">
        <f aca="false">2</f>
        <v>2</v>
      </c>
      <c r="E268" s="81" t="str">
        <f aca="false">'W Programs'!C16</f>
        <v>WOO IP</v>
      </c>
      <c r="F268" s="81" t="str">
        <f aca="false">'W Programs'!D16</f>
        <v>Installations</v>
      </c>
      <c r="G268" s="145" t="n">
        <f aca="false">INDEX('W Programs'!$F$16:$H$16,1,D268)*INDEX('W Assumptions'!$D$7:$F$7,1,D268)*'W Assumptions'!E101/SUM('W Assumptions'!E$95:E$106)</f>
        <v>0.15</v>
      </c>
      <c r="H268" s="81" t="n">
        <f aca="false">G268*INDEX('W Programs'!$I$16:$K$16,1,D268)*INDEX('W Assumptions'!$D$12:$F$12,1,D268)</f>
        <v>45000</v>
      </c>
      <c r="I268" s="81" t="n">
        <f aca="false">H268*CHOOSE(D268,'W Programs'!L16,'W Programs'!Q16,'W Programs'!R16)*INDEX('W Assumptions'!$D$17:$F$17,1,D268)</f>
        <v>27000</v>
      </c>
      <c r="J268" s="81" t="n">
        <f aca="false">H268*'W Programs'!$M$16*'W Programs'!$O$16</f>
        <v>0</v>
      </c>
      <c r="K268" s="149" t="n">
        <f aca="false">'W Programs'!$N$16</f>
        <v>0.3</v>
      </c>
      <c r="L268" s="81" t="n">
        <f aca="false">H268*K268+H240*(1-K268)</f>
        <v>45000</v>
      </c>
      <c r="M268" s="81" t="n">
        <f aca="false">L268*'W Programs'!$M$16*'W Programs'!$O$16</f>
        <v>0</v>
      </c>
      <c r="N268" s="81" t="n">
        <f aca="false">I268*'W Assumptions'!$D$55+I254*(1-'W Assumptions'!$D$55)</f>
        <v>27000</v>
      </c>
      <c r="O268" s="81" t="n">
        <f aca="false">H268-I268-J268</f>
        <v>18000</v>
      </c>
    </row>
    <row r="269" customFormat="false" ht="21" hidden="false" customHeight="true" outlineLevel="0" collapsed="false">
      <c r="C269" s="144" t="n">
        <f aca="false">46813</f>
        <v>46813</v>
      </c>
      <c r="D269" s="81" t="n">
        <f aca="false">2</f>
        <v>2</v>
      </c>
      <c r="E269" s="81" t="str">
        <f aca="false">'W Programs'!C17</f>
        <v>WOO IP</v>
      </c>
      <c r="F269" s="81" t="str">
        <f aca="false">'W Programs'!D17</f>
        <v>Digital</v>
      </c>
      <c r="G269" s="145" t="n">
        <f aca="false">INDEX('W Programs'!$F$17:$H$17,1,D269)*INDEX('W Assumptions'!$D$7:$F$7,1,D269)*'W Assumptions'!E101/SUM('W Assumptions'!E$95:E$106)</f>
        <v>75</v>
      </c>
      <c r="H269" s="81" t="n">
        <f aca="false">G269*INDEX('W Programs'!$I$17:$K$17,1,D269)*INDEX('W Assumptions'!$D$12:$F$12,1,D269)</f>
        <v>26250</v>
      </c>
      <c r="I269" s="81" t="n">
        <f aca="false">H269*CHOOSE(D269,'W Programs'!L17,'W Programs'!Q17,'W Programs'!R17)*INDEX('W Assumptions'!$D$17:$F$17,1,D269)</f>
        <v>4725</v>
      </c>
      <c r="J269" s="81" t="n">
        <f aca="false">H269*'W Programs'!$M$17*'W Programs'!$O$17</f>
        <v>0</v>
      </c>
      <c r="K269" s="149" t="n">
        <f aca="false">'W Programs'!$N$17</f>
        <v>1</v>
      </c>
      <c r="L269" s="81" t="n">
        <f aca="false">H269*K269+H241*(1-K269)</f>
        <v>26250</v>
      </c>
      <c r="M269" s="81" t="n">
        <f aca="false">L269*'W Programs'!$M$17*'W Programs'!$O$17</f>
        <v>0</v>
      </c>
      <c r="N269" s="81" t="n">
        <f aca="false">I269*'W Assumptions'!$D$55+I255*(1-'W Assumptions'!$D$55)</f>
        <v>4725</v>
      </c>
      <c r="O269" s="81" t="n">
        <f aca="false">H269-I269-J269</f>
        <v>21525</v>
      </c>
    </row>
    <row r="270" customFormat="false" ht="21" hidden="false" customHeight="true" outlineLevel="0" collapsed="false">
      <c r="C270" s="144" t="n">
        <f aca="false">46813</f>
        <v>46813</v>
      </c>
      <c r="D270" s="81" t="n">
        <f aca="false">2</f>
        <v>2</v>
      </c>
      <c r="E270" s="81" t="str">
        <f aca="false">'W Programs'!C18</f>
        <v>WOO IP</v>
      </c>
      <c r="F270" s="81" t="str">
        <f aca="false">'W Programs'!D18</f>
        <v>Retail</v>
      </c>
      <c r="G270" s="145" t="n">
        <f aca="false">INDEX('W Programs'!$F$18:$H$18,1,D270)*INDEX('W Assumptions'!$D$7:$F$7,1,D270)*'W Assumptions'!E101/SUM('W Assumptions'!E$95:E$106)</f>
        <v>200</v>
      </c>
      <c r="H270" s="81" t="n">
        <f aca="false">G270*INDEX('W Programs'!$I$18:$K$18,1,D270)*INDEX('W Assumptions'!$D$12:$F$12,1,D270)</f>
        <v>50000</v>
      </c>
      <c r="I270" s="81" t="n">
        <f aca="false">H270*CHOOSE(D270,'W Programs'!L18,'W Programs'!Q18,'W Programs'!R18)*INDEX('W Assumptions'!$D$17:$F$17,1,D270)</f>
        <v>25000</v>
      </c>
      <c r="J270" s="81" t="n">
        <f aca="false">H270*'W Programs'!$M$18*'W Programs'!$O$18</f>
        <v>0</v>
      </c>
      <c r="K270" s="149" t="n">
        <f aca="false">'W Programs'!$N$18</f>
        <v>1</v>
      </c>
      <c r="L270" s="81" t="n">
        <f aca="false">H270*K270+H242*(1-K270)</f>
        <v>50000</v>
      </c>
      <c r="M270" s="81" t="n">
        <f aca="false">L270*'W Programs'!$M$18*'W Programs'!$O$18</f>
        <v>0</v>
      </c>
      <c r="N270" s="81" t="n">
        <f aca="false">I270*'W Assumptions'!$D$55+I256*(1-'W Assumptions'!$D$55)</f>
        <v>25000</v>
      </c>
      <c r="O270" s="81" t="n">
        <f aca="false">H270-I270-J270</f>
        <v>25000</v>
      </c>
    </row>
    <row r="271" customFormat="false" ht="21" hidden="false" customHeight="true" outlineLevel="0" collapsed="false">
      <c r="C271" s="144" t="n">
        <f aca="false">46813</f>
        <v>46813</v>
      </c>
      <c r="D271" s="81" t="n">
        <f aca="false">2</f>
        <v>2</v>
      </c>
      <c r="E271" s="81" t="str">
        <f aca="false">'W Programs'!C19</f>
        <v>WOO IP</v>
      </c>
      <c r="F271" s="81" t="str">
        <f aca="false">'W Programs'!D19</f>
        <v>Licensing</v>
      </c>
      <c r="G271" s="145" t="n">
        <f aca="false">INDEX('W Programs'!$F$19:$H$19,1,D271)*INDEX('W Assumptions'!$D$7:$F$7,1,D271)*'W Assumptions'!E101/SUM('W Assumptions'!E$95:E$106)</f>
        <v>0.05</v>
      </c>
      <c r="H271" s="81" t="n">
        <f aca="false">G271*INDEX('W Programs'!$I$19:$K$19,1,D271)*INDEX('W Assumptions'!$D$12:$F$12,1,D271)</f>
        <v>15000</v>
      </c>
      <c r="I271" s="81" t="n">
        <f aca="false">H271*CHOOSE(D271,'W Programs'!L19,'W Programs'!Q19,'W Programs'!R19)*INDEX('W Assumptions'!$D$17:$F$17,1,D271)</f>
        <v>1800</v>
      </c>
      <c r="J271" s="81" t="n">
        <f aca="false">H271*'W Programs'!$M$19*'W Programs'!$O$19</f>
        <v>0</v>
      </c>
      <c r="K271" s="149" t="n">
        <f aca="false">'W Programs'!$N$19</f>
        <v>0.3</v>
      </c>
      <c r="L271" s="81" t="n">
        <f aca="false">H271*K271+H243*(1-K271)</f>
        <v>15000</v>
      </c>
      <c r="M271" s="81" t="n">
        <f aca="false">L271*'W Programs'!$M$19*'W Programs'!$O$19</f>
        <v>0</v>
      </c>
      <c r="N271" s="81" t="n">
        <f aca="false">I271*'W Assumptions'!$D$55+I257*(1-'W Assumptions'!$D$55)</f>
        <v>1800</v>
      </c>
      <c r="O271" s="81" t="n">
        <f aca="false">H271-I271-J271</f>
        <v>13200</v>
      </c>
    </row>
    <row r="272" customFormat="false" ht="21" hidden="false" customHeight="true" outlineLevel="0" collapsed="false">
      <c r="C272" s="144" t="n">
        <f aca="false">46844</f>
        <v>46844</v>
      </c>
      <c r="D272" s="81" t="n">
        <f aca="false">2</f>
        <v>2</v>
      </c>
      <c r="E272" s="81" t="str">
        <f aca="false">'W Programs'!C6</f>
        <v>TLI</v>
      </c>
      <c r="F272" s="81" t="str">
        <f aca="false">'W Programs'!D6</f>
        <v>Schools</v>
      </c>
      <c r="G272" s="145" t="n">
        <f aca="false">INDEX('W Programs'!$F$6:$H$6,1,D272)*INDEX('W Assumptions'!$D$7:$F$7,1,D272)*'W Assumptions'!E102/SUM('W Assumptions'!E$95:E$106)</f>
        <v>0.466666666666667</v>
      </c>
      <c r="H272" s="81" t="n">
        <f aca="false">G272*INDEX('W Programs'!$I$6:$K$6,1,D272)*INDEX('W Assumptions'!$D$12:$F$12,1,D272)</f>
        <v>79333.3333333333</v>
      </c>
      <c r="I272" s="81" t="n">
        <f aca="false">H272*CHOOSE(D272,'W Programs'!L6,'W Programs'!Q6,'W Programs'!R6)*INDEX('W Assumptions'!$D$17:$F$17,1,D272)</f>
        <v>31733.3333333333</v>
      </c>
      <c r="J272" s="81" t="n">
        <f aca="false">H272*'W Programs'!$M$6*'W Programs'!$O$6</f>
        <v>0</v>
      </c>
      <c r="K272" s="149" t="n">
        <f aca="false">'W Programs'!$N$6</f>
        <v>0.3</v>
      </c>
      <c r="L272" s="81" t="n">
        <f aca="false">H272*K272+H244*(1-K272)</f>
        <v>79333.3333333333</v>
      </c>
      <c r="M272" s="81" t="n">
        <f aca="false">L272*'W Programs'!$M$6*'W Programs'!$O$6</f>
        <v>0</v>
      </c>
      <c r="N272" s="81" t="n">
        <f aca="false">I272*'W Assumptions'!$D$55+I258*(1-'W Assumptions'!$D$55)</f>
        <v>31733.3333333333</v>
      </c>
      <c r="O272" s="81" t="n">
        <f aca="false">H272-I272-J272</f>
        <v>47600</v>
      </c>
    </row>
    <row r="273" customFormat="false" ht="21" hidden="false" customHeight="true" outlineLevel="0" collapsed="false">
      <c r="C273" s="144" t="n">
        <f aca="false">46844</f>
        <v>46844</v>
      </c>
      <c r="D273" s="81" t="n">
        <f aca="false">2</f>
        <v>2</v>
      </c>
      <c r="E273" s="81" t="str">
        <f aca="false">'W Programs'!C7</f>
        <v>TLI</v>
      </c>
      <c r="F273" s="81" t="str">
        <f aca="false">'W Programs'!D7</f>
        <v>Activations</v>
      </c>
      <c r="G273" s="145" t="n">
        <f aca="false">INDEX('W Programs'!$F$7:$H$7,1,D273)*INDEX('W Assumptions'!$D$7:$F$7,1,D273)*'W Assumptions'!E102/SUM('W Assumptions'!E$95:E$106)</f>
        <v>0.6</v>
      </c>
      <c r="H273" s="81" t="n">
        <f aca="false">G273*INDEX('W Programs'!$I$7:$K$7,1,D273)*INDEX('W Assumptions'!$D$12:$F$12,1,D273)</f>
        <v>45000</v>
      </c>
      <c r="I273" s="81" t="n">
        <f aca="false">H273*CHOOSE(D273,'W Programs'!L7,'W Programs'!Q7,'W Programs'!R7)*INDEX('W Assumptions'!$D$17:$F$17,1,D273)</f>
        <v>23400</v>
      </c>
      <c r="J273" s="81" t="n">
        <f aca="false">H273*'W Programs'!$M$7*'W Programs'!$O$7</f>
        <v>0</v>
      </c>
      <c r="K273" s="149" t="n">
        <f aca="false">'W Programs'!$N$7</f>
        <v>0.3</v>
      </c>
      <c r="L273" s="81" t="n">
        <f aca="false">H273*K273+H245*(1-K273)</f>
        <v>45000</v>
      </c>
      <c r="M273" s="81" t="n">
        <f aca="false">L273*'W Programs'!$M$7*'W Programs'!$O$7</f>
        <v>0</v>
      </c>
      <c r="N273" s="81" t="n">
        <f aca="false">I273*'W Assumptions'!$D$55+I259*(1-'W Assumptions'!$D$55)</f>
        <v>23400</v>
      </c>
      <c r="O273" s="81" t="n">
        <f aca="false">H273-I273-J273</f>
        <v>21600</v>
      </c>
    </row>
    <row r="274" customFormat="false" ht="21" hidden="false" customHeight="true" outlineLevel="0" collapsed="false">
      <c r="C274" s="144" t="n">
        <f aca="false">46844</f>
        <v>46844</v>
      </c>
      <c r="D274" s="81" t="n">
        <f aca="false">2</f>
        <v>2</v>
      </c>
      <c r="E274" s="81" t="str">
        <f aca="false">'W Programs'!C8</f>
        <v>TLI</v>
      </c>
      <c r="F274" s="81" t="str">
        <f aca="false">'W Programs'!D8</f>
        <v>Workshops</v>
      </c>
      <c r="G274" s="145" t="n">
        <f aca="false">INDEX('W Programs'!$F$8:$H$8,1,D274)*INDEX('W Assumptions'!$D$7:$F$7,1,D274)*'W Assumptions'!E102/SUM('W Assumptions'!E$95:E$106)</f>
        <v>5.33333333333333</v>
      </c>
      <c r="H274" s="81" t="n">
        <f aca="false">G274*INDEX('W Programs'!$I$8:$K$8,1,D274)*INDEX('W Assumptions'!$D$12:$F$12,1,D274)</f>
        <v>26666.6666666667</v>
      </c>
      <c r="I274" s="81" t="n">
        <f aca="false">H274*CHOOSE(D274,'W Programs'!L8,'W Programs'!Q8,'W Programs'!R8)*INDEX('W Assumptions'!$D$17:$F$17,1,D274)</f>
        <v>11200</v>
      </c>
      <c r="J274" s="81" t="n">
        <f aca="false">H274*'W Programs'!$M$8*'W Programs'!$O$8</f>
        <v>0</v>
      </c>
      <c r="K274" s="149" t="n">
        <f aca="false">'W Programs'!$N$8</f>
        <v>0.7</v>
      </c>
      <c r="L274" s="81" t="n">
        <f aca="false">H274*K274+H246*(1-K274)</f>
        <v>26666.6666666667</v>
      </c>
      <c r="M274" s="81" t="n">
        <f aca="false">L274*'W Programs'!$M$8*'W Programs'!$O$8</f>
        <v>0</v>
      </c>
      <c r="N274" s="81" t="n">
        <f aca="false">I274*'W Assumptions'!$D$55+I260*(1-'W Assumptions'!$D$55)</f>
        <v>11200</v>
      </c>
      <c r="O274" s="81" t="n">
        <f aca="false">H274-I274-J274</f>
        <v>15466.6666666667</v>
      </c>
    </row>
    <row r="275" customFormat="false" ht="21" hidden="false" customHeight="true" outlineLevel="0" collapsed="false">
      <c r="C275" s="144" t="n">
        <f aca="false">46844</f>
        <v>46844</v>
      </c>
      <c r="D275" s="81" t="n">
        <f aca="false">2</f>
        <v>2</v>
      </c>
      <c r="E275" s="81" t="str">
        <f aca="false">'W Programs'!C9</f>
        <v>TLI</v>
      </c>
      <c r="F275" s="81" t="str">
        <f aca="false">'W Programs'!D9</f>
        <v>Installations</v>
      </c>
      <c r="G275" s="145" t="n">
        <f aca="false">INDEX('W Programs'!$F$9:$H$9,1,D275)*INDEX('W Assumptions'!$D$7:$F$7,1,D275)*'W Assumptions'!E102/SUM('W Assumptions'!E$95:E$106)</f>
        <v>0.1</v>
      </c>
      <c r="H275" s="81" t="n">
        <f aca="false">G275*INDEX('W Programs'!$I$9:$K$9,1,D275)*INDEX('W Assumptions'!$D$12:$F$12,1,D275)</f>
        <v>30000</v>
      </c>
      <c r="I275" s="81" t="n">
        <f aca="false">H275*CHOOSE(D275,'W Programs'!L9,'W Programs'!Q9,'W Programs'!R9)*INDEX('W Assumptions'!$D$17:$F$17,1,D275)</f>
        <v>18000</v>
      </c>
      <c r="J275" s="81" t="n">
        <f aca="false">H275*'W Programs'!$M$9*'W Programs'!$O$9</f>
        <v>0</v>
      </c>
      <c r="K275" s="149" t="n">
        <f aca="false">'W Programs'!$N$9</f>
        <v>0.3</v>
      </c>
      <c r="L275" s="81" t="n">
        <f aca="false">H275*K275+H247*(1-K275)</f>
        <v>30000</v>
      </c>
      <c r="M275" s="81" t="n">
        <f aca="false">L275*'W Programs'!$M$9*'W Programs'!$O$9</f>
        <v>0</v>
      </c>
      <c r="N275" s="81" t="n">
        <f aca="false">I275*'W Assumptions'!$D$55+I261*(1-'W Assumptions'!$D$55)</f>
        <v>18000</v>
      </c>
      <c r="O275" s="81" t="n">
        <f aca="false">H275-I275-J275</f>
        <v>12000</v>
      </c>
    </row>
    <row r="276" customFormat="false" ht="21" hidden="false" customHeight="true" outlineLevel="0" collapsed="false">
      <c r="C276" s="144" t="n">
        <f aca="false">46844</f>
        <v>46844</v>
      </c>
      <c r="D276" s="81" t="n">
        <f aca="false">2</f>
        <v>2</v>
      </c>
      <c r="E276" s="81" t="str">
        <f aca="false">'W Programs'!C10</f>
        <v>TLI</v>
      </c>
      <c r="F276" s="81" t="str">
        <f aca="false">'W Programs'!D10</f>
        <v>Digital</v>
      </c>
      <c r="G276" s="145" t="n">
        <f aca="false">INDEX('W Programs'!$F$10:$H$10,1,D276)*INDEX('W Assumptions'!$D$7:$F$7,1,D276)*'W Assumptions'!E102/SUM('W Assumptions'!E$95:E$106)</f>
        <v>50</v>
      </c>
      <c r="H276" s="81" t="n">
        <f aca="false">G276*INDEX('W Programs'!$I$10:$K$10,1,D276)*INDEX('W Assumptions'!$D$12:$F$12,1,D276)</f>
        <v>17500</v>
      </c>
      <c r="I276" s="81" t="n">
        <f aca="false">H276*CHOOSE(D276,'W Programs'!L10,'W Programs'!Q10,'W Programs'!R10)*INDEX('W Assumptions'!$D$17:$F$17,1,D276)</f>
        <v>3150</v>
      </c>
      <c r="J276" s="81" t="n">
        <f aca="false">H276*'W Programs'!$M$10*'W Programs'!$O$10</f>
        <v>0</v>
      </c>
      <c r="K276" s="149" t="n">
        <f aca="false">'W Programs'!$N$10</f>
        <v>1</v>
      </c>
      <c r="L276" s="81" t="n">
        <f aca="false">H276*K276+H248*(1-K276)</f>
        <v>17500</v>
      </c>
      <c r="M276" s="81" t="n">
        <f aca="false">L276*'W Programs'!$M$10*'W Programs'!$O$10</f>
        <v>0</v>
      </c>
      <c r="N276" s="81" t="n">
        <f aca="false">I276*'W Assumptions'!$D$55+I262*(1-'W Assumptions'!$D$55)</f>
        <v>3150</v>
      </c>
      <c r="O276" s="81" t="n">
        <f aca="false">H276-I276-J276</f>
        <v>14350</v>
      </c>
    </row>
    <row r="277" customFormat="false" ht="21" hidden="false" customHeight="true" outlineLevel="0" collapsed="false">
      <c r="C277" s="144" t="n">
        <f aca="false">46844</f>
        <v>46844</v>
      </c>
      <c r="D277" s="81" t="n">
        <f aca="false">2</f>
        <v>2</v>
      </c>
      <c r="E277" s="81" t="str">
        <f aca="false">'W Programs'!C11</f>
        <v>TLI</v>
      </c>
      <c r="F277" s="81" t="str">
        <f aca="false">'W Programs'!D11</f>
        <v>Retail</v>
      </c>
      <c r="G277" s="145" t="n">
        <f aca="false">INDEX('W Programs'!$F$11:$H$11,1,D277)*INDEX('W Assumptions'!$D$7:$F$7,1,D277)*'W Assumptions'!E102/SUM('W Assumptions'!E$95:E$106)</f>
        <v>133.333333333333</v>
      </c>
      <c r="H277" s="81" t="n">
        <f aca="false">G277*INDEX('W Programs'!$I$11:$K$11,1,D277)*INDEX('W Assumptions'!$D$12:$F$12,1,D277)</f>
        <v>33333.3333333333</v>
      </c>
      <c r="I277" s="81" t="n">
        <f aca="false">H277*CHOOSE(D277,'W Programs'!L11,'W Programs'!Q11,'W Programs'!R11)*INDEX('W Assumptions'!$D$17:$F$17,1,D277)</f>
        <v>16666.6666666667</v>
      </c>
      <c r="J277" s="81" t="n">
        <f aca="false">H277*'W Programs'!$M$11*'W Programs'!$O$11</f>
        <v>0</v>
      </c>
      <c r="K277" s="149" t="n">
        <f aca="false">'W Programs'!$N$11</f>
        <v>1</v>
      </c>
      <c r="L277" s="81" t="n">
        <f aca="false">H277*K277+H249*(1-K277)</f>
        <v>33333.3333333333</v>
      </c>
      <c r="M277" s="81" t="n">
        <f aca="false">L277*'W Programs'!$M$11*'W Programs'!$O$11</f>
        <v>0</v>
      </c>
      <c r="N277" s="81" t="n">
        <f aca="false">I277*'W Assumptions'!$D$55+I263*(1-'W Assumptions'!$D$55)</f>
        <v>16666.6666666667</v>
      </c>
      <c r="O277" s="81" t="n">
        <f aca="false">H277-I277-J277</f>
        <v>16666.6666666667</v>
      </c>
    </row>
    <row r="278" customFormat="false" ht="21" hidden="false" customHeight="true" outlineLevel="0" collapsed="false">
      <c r="C278" s="144" t="n">
        <f aca="false">46844</f>
        <v>46844</v>
      </c>
      <c r="D278" s="81" t="n">
        <f aca="false">2</f>
        <v>2</v>
      </c>
      <c r="E278" s="81" t="str">
        <f aca="false">'W Programs'!C12</f>
        <v>TLI</v>
      </c>
      <c r="F278" s="81" t="str">
        <f aca="false">'W Programs'!D12</f>
        <v>Licensing</v>
      </c>
      <c r="G278" s="145" t="n">
        <f aca="false">INDEX('W Programs'!$F$12:$H$12,1,D278)*INDEX('W Assumptions'!$D$7:$F$7,1,D278)*'W Assumptions'!E102/SUM('W Assumptions'!E$95:E$106)</f>
        <v>0.0333333333333333</v>
      </c>
      <c r="H278" s="81" t="n">
        <f aca="false">G278*INDEX('W Programs'!$I$12:$K$12,1,D278)*INDEX('W Assumptions'!$D$12:$F$12,1,D278)</f>
        <v>10000</v>
      </c>
      <c r="I278" s="81" t="n">
        <f aca="false">H278*CHOOSE(D278,'W Programs'!L12,'W Programs'!Q12,'W Programs'!R12)*INDEX('W Assumptions'!$D$17:$F$17,1,D278)</f>
        <v>1200</v>
      </c>
      <c r="J278" s="81" t="n">
        <f aca="false">H278*'W Programs'!$M$12*'W Programs'!$O$12</f>
        <v>0</v>
      </c>
      <c r="K278" s="149" t="n">
        <f aca="false">'W Programs'!$N$12</f>
        <v>0.3</v>
      </c>
      <c r="L278" s="81" t="n">
        <f aca="false">H278*K278+H250*(1-K278)</f>
        <v>10000</v>
      </c>
      <c r="M278" s="81" t="n">
        <f aca="false">L278*'W Programs'!$M$12*'W Programs'!$O$12</f>
        <v>0</v>
      </c>
      <c r="N278" s="81" t="n">
        <f aca="false">I278*'W Assumptions'!$D$55+I264*(1-'W Assumptions'!$D$55)</f>
        <v>1200</v>
      </c>
      <c r="O278" s="81" t="n">
        <f aca="false">H278-I278-J278</f>
        <v>8800</v>
      </c>
    </row>
    <row r="279" customFormat="false" ht="21" hidden="false" customHeight="true" outlineLevel="0" collapsed="false">
      <c r="C279" s="144" t="n">
        <f aca="false">46844</f>
        <v>46844</v>
      </c>
      <c r="D279" s="81" t="n">
        <f aca="false">2</f>
        <v>2</v>
      </c>
      <c r="E279" s="81" t="str">
        <f aca="false">'W Programs'!C13</f>
        <v>WOO IP</v>
      </c>
      <c r="F279" s="81" t="str">
        <f aca="false">'W Programs'!D13</f>
        <v>Schools</v>
      </c>
      <c r="G279" s="145" t="n">
        <f aca="false">INDEX('W Programs'!$F$13:$H$13,1,D279)*INDEX('W Assumptions'!$D$7:$F$7,1,D279)*'W Assumptions'!E102/SUM('W Assumptions'!E$95:E$106)</f>
        <v>0.7</v>
      </c>
      <c r="H279" s="81" t="n">
        <f aca="false">G279*INDEX('W Programs'!$I$13:$K$13,1,D279)*INDEX('W Assumptions'!$D$12:$F$12,1,D279)</f>
        <v>119000</v>
      </c>
      <c r="I279" s="81" t="n">
        <f aca="false">H279*CHOOSE(D279,'W Programs'!L13,'W Programs'!Q13,'W Programs'!R13)*INDEX('W Assumptions'!$D$17:$F$17,1,D279)</f>
        <v>47600</v>
      </c>
      <c r="J279" s="81" t="n">
        <f aca="false">H279*'W Programs'!$M$13*'W Programs'!$O$13</f>
        <v>0</v>
      </c>
      <c r="K279" s="149" t="n">
        <f aca="false">'W Programs'!$N$13</f>
        <v>0.3</v>
      </c>
      <c r="L279" s="81" t="n">
        <f aca="false">H279*K279+H251*(1-K279)</f>
        <v>119000</v>
      </c>
      <c r="M279" s="81" t="n">
        <f aca="false">L279*'W Programs'!$M$13*'W Programs'!$O$13</f>
        <v>0</v>
      </c>
      <c r="N279" s="81" t="n">
        <f aca="false">I279*'W Assumptions'!$D$55+I265*(1-'W Assumptions'!$D$55)</f>
        <v>47600</v>
      </c>
      <c r="O279" s="81" t="n">
        <f aca="false">H279-I279-J279</f>
        <v>71400</v>
      </c>
    </row>
    <row r="280" customFormat="false" ht="21" hidden="false" customHeight="true" outlineLevel="0" collapsed="false">
      <c r="C280" s="144" t="n">
        <f aca="false">46844</f>
        <v>46844</v>
      </c>
      <c r="D280" s="81" t="n">
        <f aca="false">2</f>
        <v>2</v>
      </c>
      <c r="E280" s="81" t="str">
        <f aca="false">'W Programs'!C14</f>
        <v>WOO IP</v>
      </c>
      <c r="F280" s="81" t="str">
        <f aca="false">'W Programs'!D14</f>
        <v>Activations</v>
      </c>
      <c r="G280" s="145" t="n">
        <f aca="false">INDEX('W Programs'!$F$14:$H$14,1,D280)*INDEX('W Assumptions'!$D$7:$F$7,1,D280)*'W Assumptions'!E102/SUM('W Assumptions'!E$95:E$106)</f>
        <v>0.9</v>
      </c>
      <c r="H280" s="81" t="n">
        <f aca="false">G280*INDEX('W Programs'!$I$14:$K$14,1,D280)*INDEX('W Assumptions'!$D$12:$F$12,1,D280)</f>
        <v>67500</v>
      </c>
      <c r="I280" s="81" t="n">
        <f aca="false">H280*CHOOSE(D280,'W Programs'!L14,'W Programs'!Q14,'W Programs'!R14)*INDEX('W Assumptions'!$D$17:$F$17,1,D280)</f>
        <v>35100</v>
      </c>
      <c r="J280" s="81" t="n">
        <f aca="false">H280*'W Programs'!$M$14*'W Programs'!$O$14</f>
        <v>0</v>
      </c>
      <c r="K280" s="149" t="n">
        <f aca="false">'W Programs'!$N$14</f>
        <v>0.3</v>
      </c>
      <c r="L280" s="81" t="n">
        <f aca="false">H280*K280+H252*(1-K280)</f>
        <v>67500</v>
      </c>
      <c r="M280" s="81" t="n">
        <f aca="false">L280*'W Programs'!$M$14*'W Programs'!$O$14</f>
        <v>0</v>
      </c>
      <c r="N280" s="81" t="n">
        <f aca="false">I280*'W Assumptions'!$D$55+I266*(1-'W Assumptions'!$D$55)</f>
        <v>35100</v>
      </c>
      <c r="O280" s="81" t="n">
        <f aca="false">H280-I280-J280</f>
        <v>32400</v>
      </c>
    </row>
    <row r="281" customFormat="false" ht="21" hidden="false" customHeight="true" outlineLevel="0" collapsed="false">
      <c r="C281" s="144" t="n">
        <f aca="false">46844</f>
        <v>46844</v>
      </c>
      <c r="D281" s="81" t="n">
        <f aca="false">2</f>
        <v>2</v>
      </c>
      <c r="E281" s="81" t="str">
        <f aca="false">'W Programs'!C15</f>
        <v>WOO IP</v>
      </c>
      <c r="F281" s="81" t="str">
        <f aca="false">'W Programs'!D15</f>
        <v>Workshops</v>
      </c>
      <c r="G281" s="145" t="n">
        <f aca="false">INDEX('W Programs'!$F$15:$H$15,1,D281)*INDEX('W Assumptions'!$D$7:$F$7,1,D281)*'W Assumptions'!E102/SUM('W Assumptions'!E$95:E$106)</f>
        <v>8</v>
      </c>
      <c r="H281" s="81" t="n">
        <f aca="false">G281*INDEX('W Programs'!$I$15:$K$15,1,D281)*INDEX('W Assumptions'!$D$12:$F$12,1,D281)</f>
        <v>40000</v>
      </c>
      <c r="I281" s="81" t="n">
        <f aca="false">H281*CHOOSE(D281,'W Programs'!L15,'W Programs'!Q15,'W Programs'!R15)*INDEX('W Assumptions'!$D$17:$F$17,1,D281)</f>
        <v>16800</v>
      </c>
      <c r="J281" s="81" t="n">
        <f aca="false">H281*'W Programs'!$M$15*'W Programs'!$O$15</f>
        <v>0</v>
      </c>
      <c r="K281" s="149" t="n">
        <f aca="false">'W Programs'!$N$15</f>
        <v>0.7</v>
      </c>
      <c r="L281" s="81" t="n">
        <f aca="false">H281*K281+H253*(1-K281)</f>
        <v>40000</v>
      </c>
      <c r="M281" s="81" t="n">
        <f aca="false">L281*'W Programs'!$M$15*'W Programs'!$O$15</f>
        <v>0</v>
      </c>
      <c r="N281" s="81" t="n">
        <f aca="false">I281*'W Assumptions'!$D$55+I267*(1-'W Assumptions'!$D$55)</f>
        <v>16800</v>
      </c>
      <c r="O281" s="81" t="n">
        <f aca="false">H281-I281-J281</f>
        <v>23200</v>
      </c>
    </row>
    <row r="282" customFormat="false" ht="21" hidden="false" customHeight="true" outlineLevel="0" collapsed="false">
      <c r="C282" s="144" t="n">
        <f aca="false">46844</f>
        <v>46844</v>
      </c>
      <c r="D282" s="81" t="n">
        <f aca="false">2</f>
        <v>2</v>
      </c>
      <c r="E282" s="81" t="str">
        <f aca="false">'W Programs'!C16</f>
        <v>WOO IP</v>
      </c>
      <c r="F282" s="81" t="str">
        <f aca="false">'W Programs'!D16</f>
        <v>Installations</v>
      </c>
      <c r="G282" s="145" t="n">
        <f aca="false">INDEX('W Programs'!$F$16:$H$16,1,D282)*INDEX('W Assumptions'!$D$7:$F$7,1,D282)*'W Assumptions'!E102/SUM('W Assumptions'!E$95:E$106)</f>
        <v>0.15</v>
      </c>
      <c r="H282" s="81" t="n">
        <f aca="false">G282*INDEX('W Programs'!$I$16:$K$16,1,D282)*INDEX('W Assumptions'!$D$12:$F$12,1,D282)</f>
        <v>45000</v>
      </c>
      <c r="I282" s="81" t="n">
        <f aca="false">H282*CHOOSE(D282,'W Programs'!L16,'W Programs'!Q16,'W Programs'!R16)*INDEX('W Assumptions'!$D$17:$F$17,1,D282)</f>
        <v>27000</v>
      </c>
      <c r="J282" s="81" t="n">
        <f aca="false">H282*'W Programs'!$M$16*'W Programs'!$O$16</f>
        <v>0</v>
      </c>
      <c r="K282" s="149" t="n">
        <f aca="false">'W Programs'!$N$16</f>
        <v>0.3</v>
      </c>
      <c r="L282" s="81" t="n">
        <f aca="false">H282*K282+H254*(1-K282)</f>
        <v>45000</v>
      </c>
      <c r="M282" s="81" t="n">
        <f aca="false">L282*'W Programs'!$M$16*'W Programs'!$O$16</f>
        <v>0</v>
      </c>
      <c r="N282" s="81" t="n">
        <f aca="false">I282*'W Assumptions'!$D$55+I268*(1-'W Assumptions'!$D$55)</f>
        <v>27000</v>
      </c>
      <c r="O282" s="81" t="n">
        <f aca="false">H282-I282-J282</f>
        <v>18000</v>
      </c>
    </row>
    <row r="283" customFormat="false" ht="21" hidden="false" customHeight="true" outlineLevel="0" collapsed="false">
      <c r="C283" s="144" t="n">
        <f aca="false">46844</f>
        <v>46844</v>
      </c>
      <c r="D283" s="81" t="n">
        <f aca="false">2</f>
        <v>2</v>
      </c>
      <c r="E283" s="81" t="str">
        <f aca="false">'W Programs'!C17</f>
        <v>WOO IP</v>
      </c>
      <c r="F283" s="81" t="str">
        <f aca="false">'W Programs'!D17</f>
        <v>Digital</v>
      </c>
      <c r="G283" s="145" t="n">
        <f aca="false">INDEX('W Programs'!$F$17:$H$17,1,D283)*INDEX('W Assumptions'!$D$7:$F$7,1,D283)*'W Assumptions'!E102/SUM('W Assumptions'!E$95:E$106)</f>
        <v>75</v>
      </c>
      <c r="H283" s="81" t="n">
        <f aca="false">G283*INDEX('W Programs'!$I$17:$K$17,1,D283)*INDEX('W Assumptions'!$D$12:$F$12,1,D283)</f>
        <v>26250</v>
      </c>
      <c r="I283" s="81" t="n">
        <f aca="false">H283*CHOOSE(D283,'W Programs'!L17,'W Programs'!Q17,'W Programs'!R17)*INDEX('W Assumptions'!$D$17:$F$17,1,D283)</f>
        <v>4725</v>
      </c>
      <c r="J283" s="81" t="n">
        <f aca="false">H283*'W Programs'!$M$17*'W Programs'!$O$17</f>
        <v>0</v>
      </c>
      <c r="K283" s="149" t="n">
        <f aca="false">'W Programs'!$N$17</f>
        <v>1</v>
      </c>
      <c r="L283" s="81" t="n">
        <f aca="false">H283*K283+H255*(1-K283)</f>
        <v>26250</v>
      </c>
      <c r="M283" s="81" t="n">
        <f aca="false">L283*'W Programs'!$M$17*'W Programs'!$O$17</f>
        <v>0</v>
      </c>
      <c r="N283" s="81" t="n">
        <f aca="false">I283*'W Assumptions'!$D$55+I269*(1-'W Assumptions'!$D$55)</f>
        <v>4725</v>
      </c>
      <c r="O283" s="81" t="n">
        <f aca="false">H283-I283-J283</f>
        <v>21525</v>
      </c>
    </row>
    <row r="284" customFormat="false" ht="21" hidden="false" customHeight="true" outlineLevel="0" collapsed="false">
      <c r="C284" s="144" t="n">
        <f aca="false">46844</f>
        <v>46844</v>
      </c>
      <c r="D284" s="81" t="n">
        <f aca="false">2</f>
        <v>2</v>
      </c>
      <c r="E284" s="81" t="str">
        <f aca="false">'W Programs'!C18</f>
        <v>WOO IP</v>
      </c>
      <c r="F284" s="81" t="str">
        <f aca="false">'W Programs'!D18</f>
        <v>Retail</v>
      </c>
      <c r="G284" s="145" t="n">
        <f aca="false">INDEX('W Programs'!$F$18:$H$18,1,D284)*INDEX('W Assumptions'!$D$7:$F$7,1,D284)*'W Assumptions'!E102/SUM('W Assumptions'!E$95:E$106)</f>
        <v>200</v>
      </c>
      <c r="H284" s="81" t="n">
        <f aca="false">G284*INDEX('W Programs'!$I$18:$K$18,1,D284)*INDEX('W Assumptions'!$D$12:$F$12,1,D284)</f>
        <v>50000</v>
      </c>
      <c r="I284" s="81" t="n">
        <f aca="false">H284*CHOOSE(D284,'W Programs'!L18,'W Programs'!Q18,'W Programs'!R18)*INDEX('W Assumptions'!$D$17:$F$17,1,D284)</f>
        <v>25000</v>
      </c>
      <c r="J284" s="81" t="n">
        <f aca="false">H284*'W Programs'!$M$18*'W Programs'!$O$18</f>
        <v>0</v>
      </c>
      <c r="K284" s="149" t="n">
        <f aca="false">'W Programs'!$N$18</f>
        <v>1</v>
      </c>
      <c r="L284" s="81" t="n">
        <f aca="false">H284*K284+H256*(1-K284)</f>
        <v>50000</v>
      </c>
      <c r="M284" s="81" t="n">
        <f aca="false">L284*'W Programs'!$M$18*'W Programs'!$O$18</f>
        <v>0</v>
      </c>
      <c r="N284" s="81" t="n">
        <f aca="false">I284*'W Assumptions'!$D$55+I270*(1-'W Assumptions'!$D$55)</f>
        <v>25000</v>
      </c>
      <c r="O284" s="81" t="n">
        <f aca="false">H284-I284-J284</f>
        <v>25000</v>
      </c>
    </row>
    <row r="285" customFormat="false" ht="21" hidden="false" customHeight="true" outlineLevel="0" collapsed="false">
      <c r="C285" s="144" t="n">
        <f aca="false">46844</f>
        <v>46844</v>
      </c>
      <c r="D285" s="81" t="n">
        <f aca="false">2</f>
        <v>2</v>
      </c>
      <c r="E285" s="81" t="str">
        <f aca="false">'W Programs'!C19</f>
        <v>WOO IP</v>
      </c>
      <c r="F285" s="81" t="str">
        <f aca="false">'W Programs'!D19</f>
        <v>Licensing</v>
      </c>
      <c r="G285" s="145" t="n">
        <f aca="false">INDEX('W Programs'!$F$19:$H$19,1,D285)*INDEX('W Assumptions'!$D$7:$F$7,1,D285)*'W Assumptions'!E102/SUM('W Assumptions'!E$95:E$106)</f>
        <v>0.05</v>
      </c>
      <c r="H285" s="81" t="n">
        <f aca="false">G285*INDEX('W Programs'!$I$19:$K$19,1,D285)*INDEX('W Assumptions'!$D$12:$F$12,1,D285)</f>
        <v>15000</v>
      </c>
      <c r="I285" s="81" t="n">
        <f aca="false">H285*CHOOSE(D285,'W Programs'!L19,'W Programs'!Q19,'W Programs'!R19)*INDEX('W Assumptions'!$D$17:$F$17,1,D285)</f>
        <v>1800</v>
      </c>
      <c r="J285" s="81" t="n">
        <f aca="false">H285*'W Programs'!$M$19*'W Programs'!$O$19</f>
        <v>0</v>
      </c>
      <c r="K285" s="149" t="n">
        <f aca="false">'W Programs'!$N$19</f>
        <v>0.3</v>
      </c>
      <c r="L285" s="81" t="n">
        <f aca="false">H285*K285+H257*(1-K285)</f>
        <v>15000</v>
      </c>
      <c r="M285" s="81" t="n">
        <f aca="false">L285*'W Programs'!$M$19*'W Programs'!$O$19</f>
        <v>0</v>
      </c>
      <c r="N285" s="81" t="n">
        <f aca="false">I285*'W Assumptions'!$D$55+I271*(1-'W Assumptions'!$D$55)</f>
        <v>1800</v>
      </c>
      <c r="O285" s="81" t="n">
        <f aca="false">H285-I285-J285</f>
        <v>13200</v>
      </c>
    </row>
    <row r="286" customFormat="false" ht="21" hidden="false" customHeight="true" outlineLevel="0" collapsed="false">
      <c r="C286" s="144" t="n">
        <f aca="false">46874</f>
        <v>46874</v>
      </c>
      <c r="D286" s="81" t="n">
        <f aca="false">2</f>
        <v>2</v>
      </c>
      <c r="E286" s="81" t="str">
        <f aca="false">'W Programs'!C6</f>
        <v>TLI</v>
      </c>
      <c r="F286" s="81" t="str">
        <f aca="false">'W Programs'!D6</f>
        <v>Schools</v>
      </c>
      <c r="G286" s="145" t="n">
        <f aca="false">INDEX('W Programs'!$F$6:$H$6,1,D286)*INDEX('W Assumptions'!$D$7:$F$7,1,D286)*'W Assumptions'!E103/SUM('W Assumptions'!E$95:E$106)</f>
        <v>0.466666666666667</v>
      </c>
      <c r="H286" s="81" t="n">
        <f aca="false">G286*INDEX('W Programs'!$I$6:$K$6,1,D286)*INDEX('W Assumptions'!$D$12:$F$12,1,D286)</f>
        <v>79333.3333333333</v>
      </c>
      <c r="I286" s="81" t="n">
        <f aca="false">H286*CHOOSE(D286,'W Programs'!L6,'W Programs'!Q6,'W Programs'!R6)*INDEX('W Assumptions'!$D$17:$F$17,1,D286)</f>
        <v>31733.3333333333</v>
      </c>
      <c r="J286" s="81" t="n">
        <f aca="false">H286*'W Programs'!$M$6*'W Programs'!$O$6</f>
        <v>0</v>
      </c>
      <c r="K286" s="149" t="n">
        <f aca="false">'W Programs'!$N$6</f>
        <v>0.3</v>
      </c>
      <c r="L286" s="81" t="n">
        <f aca="false">H286*K286+H258*(1-K286)</f>
        <v>79333.3333333333</v>
      </c>
      <c r="M286" s="81" t="n">
        <f aca="false">L286*'W Programs'!$M$6*'W Programs'!$O$6</f>
        <v>0</v>
      </c>
      <c r="N286" s="81" t="n">
        <f aca="false">I286*'W Assumptions'!$D$55+I272*(1-'W Assumptions'!$D$55)</f>
        <v>31733.3333333333</v>
      </c>
      <c r="O286" s="81" t="n">
        <f aca="false">H286-I286-J286</f>
        <v>47600</v>
      </c>
    </row>
    <row r="287" customFormat="false" ht="21" hidden="false" customHeight="true" outlineLevel="0" collapsed="false">
      <c r="C287" s="144" t="n">
        <f aca="false">46874</f>
        <v>46874</v>
      </c>
      <c r="D287" s="81" t="n">
        <f aca="false">2</f>
        <v>2</v>
      </c>
      <c r="E287" s="81" t="str">
        <f aca="false">'W Programs'!C7</f>
        <v>TLI</v>
      </c>
      <c r="F287" s="81" t="str">
        <f aca="false">'W Programs'!D7</f>
        <v>Activations</v>
      </c>
      <c r="G287" s="145" t="n">
        <f aca="false">INDEX('W Programs'!$F$7:$H$7,1,D287)*INDEX('W Assumptions'!$D$7:$F$7,1,D287)*'W Assumptions'!E103/SUM('W Assumptions'!E$95:E$106)</f>
        <v>0.6</v>
      </c>
      <c r="H287" s="81" t="n">
        <f aca="false">G287*INDEX('W Programs'!$I$7:$K$7,1,D287)*INDEX('W Assumptions'!$D$12:$F$12,1,D287)</f>
        <v>45000</v>
      </c>
      <c r="I287" s="81" t="n">
        <f aca="false">H287*CHOOSE(D287,'W Programs'!L7,'W Programs'!Q7,'W Programs'!R7)*INDEX('W Assumptions'!$D$17:$F$17,1,D287)</f>
        <v>23400</v>
      </c>
      <c r="J287" s="81" t="n">
        <f aca="false">H287*'W Programs'!$M$7*'W Programs'!$O$7</f>
        <v>0</v>
      </c>
      <c r="K287" s="149" t="n">
        <f aca="false">'W Programs'!$N$7</f>
        <v>0.3</v>
      </c>
      <c r="L287" s="81" t="n">
        <f aca="false">H287*K287+H259*(1-K287)</f>
        <v>45000</v>
      </c>
      <c r="M287" s="81" t="n">
        <f aca="false">L287*'W Programs'!$M$7*'W Programs'!$O$7</f>
        <v>0</v>
      </c>
      <c r="N287" s="81" t="n">
        <f aca="false">I287*'W Assumptions'!$D$55+I273*(1-'W Assumptions'!$D$55)</f>
        <v>23400</v>
      </c>
      <c r="O287" s="81" t="n">
        <f aca="false">H287-I287-J287</f>
        <v>21600</v>
      </c>
    </row>
    <row r="288" customFormat="false" ht="21" hidden="false" customHeight="true" outlineLevel="0" collapsed="false">
      <c r="C288" s="144" t="n">
        <f aca="false">46874</f>
        <v>46874</v>
      </c>
      <c r="D288" s="81" t="n">
        <f aca="false">2</f>
        <v>2</v>
      </c>
      <c r="E288" s="81" t="str">
        <f aca="false">'W Programs'!C8</f>
        <v>TLI</v>
      </c>
      <c r="F288" s="81" t="str">
        <f aca="false">'W Programs'!D8</f>
        <v>Workshops</v>
      </c>
      <c r="G288" s="145" t="n">
        <f aca="false">INDEX('W Programs'!$F$8:$H$8,1,D288)*INDEX('W Assumptions'!$D$7:$F$7,1,D288)*'W Assumptions'!E103/SUM('W Assumptions'!E$95:E$106)</f>
        <v>5.33333333333333</v>
      </c>
      <c r="H288" s="81" t="n">
        <f aca="false">G288*INDEX('W Programs'!$I$8:$K$8,1,D288)*INDEX('W Assumptions'!$D$12:$F$12,1,D288)</f>
        <v>26666.6666666667</v>
      </c>
      <c r="I288" s="81" t="n">
        <f aca="false">H288*CHOOSE(D288,'W Programs'!L8,'W Programs'!Q8,'W Programs'!R8)*INDEX('W Assumptions'!$D$17:$F$17,1,D288)</f>
        <v>11200</v>
      </c>
      <c r="J288" s="81" t="n">
        <f aca="false">H288*'W Programs'!$M$8*'W Programs'!$O$8</f>
        <v>0</v>
      </c>
      <c r="K288" s="149" t="n">
        <f aca="false">'W Programs'!$N$8</f>
        <v>0.7</v>
      </c>
      <c r="L288" s="81" t="n">
        <f aca="false">H288*K288+H260*(1-K288)</f>
        <v>26666.6666666667</v>
      </c>
      <c r="M288" s="81" t="n">
        <f aca="false">L288*'W Programs'!$M$8*'W Programs'!$O$8</f>
        <v>0</v>
      </c>
      <c r="N288" s="81" t="n">
        <f aca="false">I288*'W Assumptions'!$D$55+I274*(1-'W Assumptions'!$D$55)</f>
        <v>11200</v>
      </c>
      <c r="O288" s="81" t="n">
        <f aca="false">H288-I288-J288</f>
        <v>15466.6666666667</v>
      </c>
    </row>
    <row r="289" customFormat="false" ht="21" hidden="false" customHeight="true" outlineLevel="0" collapsed="false">
      <c r="C289" s="144" t="n">
        <f aca="false">46874</f>
        <v>46874</v>
      </c>
      <c r="D289" s="81" t="n">
        <f aca="false">2</f>
        <v>2</v>
      </c>
      <c r="E289" s="81" t="str">
        <f aca="false">'W Programs'!C9</f>
        <v>TLI</v>
      </c>
      <c r="F289" s="81" t="str">
        <f aca="false">'W Programs'!D9</f>
        <v>Installations</v>
      </c>
      <c r="G289" s="145" t="n">
        <f aca="false">INDEX('W Programs'!$F$9:$H$9,1,D289)*INDEX('W Assumptions'!$D$7:$F$7,1,D289)*'W Assumptions'!E103/SUM('W Assumptions'!E$95:E$106)</f>
        <v>0.1</v>
      </c>
      <c r="H289" s="81" t="n">
        <f aca="false">G289*INDEX('W Programs'!$I$9:$K$9,1,D289)*INDEX('W Assumptions'!$D$12:$F$12,1,D289)</f>
        <v>30000</v>
      </c>
      <c r="I289" s="81" t="n">
        <f aca="false">H289*CHOOSE(D289,'W Programs'!L9,'W Programs'!Q9,'W Programs'!R9)*INDEX('W Assumptions'!$D$17:$F$17,1,D289)</f>
        <v>18000</v>
      </c>
      <c r="J289" s="81" t="n">
        <f aca="false">H289*'W Programs'!$M$9*'W Programs'!$O$9</f>
        <v>0</v>
      </c>
      <c r="K289" s="149" t="n">
        <f aca="false">'W Programs'!$N$9</f>
        <v>0.3</v>
      </c>
      <c r="L289" s="81" t="n">
        <f aca="false">H289*K289+H261*(1-K289)</f>
        <v>30000</v>
      </c>
      <c r="M289" s="81" t="n">
        <f aca="false">L289*'W Programs'!$M$9*'W Programs'!$O$9</f>
        <v>0</v>
      </c>
      <c r="N289" s="81" t="n">
        <f aca="false">I289*'W Assumptions'!$D$55+I275*(1-'W Assumptions'!$D$55)</f>
        <v>18000</v>
      </c>
      <c r="O289" s="81" t="n">
        <f aca="false">H289-I289-J289</f>
        <v>12000</v>
      </c>
    </row>
    <row r="290" customFormat="false" ht="21" hidden="false" customHeight="true" outlineLevel="0" collapsed="false">
      <c r="C290" s="144" t="n">
        <f aca="false">46874</f>
        <v>46874</v>
      </c>
      <c r="D290" s="81" t="n">
        <f aca="false">2</f>
        <v>2</v>
      </c>
      <c r="E290" s="81" t="str">
        <f aca="false">'W Programs'!C10</f>
        <v>TLI</v>
      </c>
      <c r="F290" s="81" t="str">
        <f aca="false">'W Programs'!D10</f>
        <v>Digital</v>
      </c>
      <c r="G290" s="145" t="n">
        <f aca="false">INDEX('W Programs'!$F$10:$H$10,1,D290)*INDEX('W Assumptions'!$D$7:$F$7,1,D290)*'W Assumptions'!E103/SUM('W Assumptions'!E$95:E$106)</f>
        <v>50</v>
      </c>
      <c r="H290" s="81" t="n">
        <f aca="false">G290*INDEX('W Programs'!$I$10:$K$10,1,D290)*INDEX('W Assumptions'!$D$12:$F$12,1,D290)</f>
        <v>17500</v>
      </c>
      <c r="I290" s="81" t="n">
        <f aca="false">H290*CHOOSE(D290,'W Programs'!L10,'W Programs'!Q10,'W Programs'!R10)*INDEX('W Assumptions'!$D$17:$F$17,1,D290)</f>
        <v>3150</v>
      </c>
      <c r="J290" s="81" t="n">
        <f aca="false">H290*'W Programs'!$M$10*'W Programs'!$O$10</f>
        <v>0</v>
      </c>
      <c r="K290" s="149" t="n">
        <f aca="false">'W Programs'!$N$10</f>
        <v>1</v>
      </c>
      <c r="L290" s="81" t="n">
        <f aca="false">H290*K290+H262*(1-K290)</f>
        <v>17500</v>
      </c>
      <c r="M290" s="81" t="n">
        <f aca="false">L290*'W Programs'!$M$10*'W Programs'!$O$10</f>
        <v>0</v>
      </c>
      <c r="N290" s="81" t="n">
        <f aca="false">I290*'W Assumptions'!$D$55+I276*(1-'W Assumptions'!$D$55)</f>
        <v>3150</v>
      </c>
      <c r="O290" s="81" t="n">
        <f aca="false">H290-I290-J290</f>
        <v>14350</v>
      </c>
    </row>
    <row r="291" customFormat="false" ht="21" hidden="false" customHeight="true" outlineLevel="0" collapsed="false">
      <c r="C291" s="144" t="n">
        <f aca="false">46874</f>
        <v>46874</v>
      </c>
      <c r="D291" s="81" t="n">
        <f aca="false">2</f>
        <v>2</v>
      </c>
      <c r="E291" s="81" t="str">
        <f aca="false">'W Programs'!C11</f>
        <v>TLI</v>
      </c>
      <c r="F291" s="81" t="str">
        <f aca="false">'W Programs'!D11</f>
        <v>Retail</v>
      </c>
      <c r="G291" s="145" t="n">
        <f aca="false">INDEX('W Programs'!$F$11:$H$11,1,D291)*INDEX('W Assumptions'!$D$7:$F$7,1,D291)*'W Assumptions'!E103/SUM('W Assumptions'!E$95:E$106)</f>
        <v>133.333333333333</v>
      </c>
      <c r="H291" s="81" t="n">
        <f aca="false">G291*INDEX('W Programs'!$I$11:$K$11,1,D291)*INDEX('W Assumptions'!$D$12:$F$12,1,D291)</f>
        <v>33333.3333333333</v>
      </c>
      <c r="I291" s="81" t="n">
        <f aca="false">H291*CHOOSE(D291,'W Programs'!L11,'W Programs'!Q11,'W Programs'!R11)*INDEX('W Assumptions'!$D$17:$F$17,1,D291)</f>
        <v>16666.6666666667</v>
      </c>
      <c r="J291" s="81" t="n">
        <f aca="false">H291*'W Programs'!$M$11*'W Programs'!$O$11</f>
        <v>0</v>
      </c>
      <c r="K291" s="149" t="n">
        <f aca="false">'W Programs'!$N$11</f>
        <v>1</v>
      </c>
      <c r="L291" s="81" t="n">
        <f aca="false">H291*K291+H263*(1-K291)</f>
        <v>33333.3333333333</v>
      </c>
      <c r="M291" s="81" t="n">
        <f aca="false">L291*'W Programs'!$M$11*'W Programs'!$O$11</f>
        <v>0</v>
      </c>
      <c r="N291" s="81" t="n">
        <f aca="false">I291*'W Assumptions'!$D$55+I277*(1-'W Assumptions'!$D$55)</f>
        <v>16666.6666666667</v>
      </c>
      <c r="O291" s="81" t="n">
        <f aca="false">H291-I291-J291</f>
        <v>16666.6666666667</v>
      </c>
    </row>
    <row r="292" customFormat="false" ht="21" hidden="false" customHeight="true" outlineLevel="0" collapsed="false">
      <c r="C292" s="144" t="n">
        <f aca="false">46874</f>
        <v>46874</v>
      </c>
      <c r="D292" s="81" t="n">
        <f aca="false">2</f>
        <v>2</v>
      </c>
      <c r="E292" s="81" t="str">
        <f aca="false">'W Programs'!C12</f>
        <v>TLI</v>
      </c>
      <c r="F292" s="81" t="str">
        <f aca="false">'W Programs'!D12</f>
        <v>Licensing</v>
      </c>
      <c r="G292" s="145" t="n">
        <f aca="false">INDEX('W Programs'!$F$12:$H$12,1,D292)*INDEX('W Assumptions'!$D$7:$F$7,1,D292)*'W Assumptions'!E103/SUM('W Assumptions'!E$95:E$106)</f>
        <v>0.0333333333333333</v>
      </c>
      <c r="H292" s="81" t="n">
        <f aca="false">G292*INDEX('W Programs'!$I$12:$K$12,1,D292)*INDEX('W Assumptions'!$D$12:$F$12,1,D292)</f>
        <v>10000</v>
      </c>
      <c r="I292" s="81" t="n">
        <f aca="false">H292*CHOOSE(D292,'W Programs'!L12,'W Programs'!Q12,'W Programs'!R12)*INDEX('W Assumptions'!$D$17:$F$17,1,D292)</f>
        <v>1200</v>
      </c>
      <c r="J292" s="81" t="n">
        <f aca="false">H292*'W Programs'!$M$12*'W Programs'!$O$12</f>
        <v>0</v>
      </c>
      <c r="K292" s="149" t="n">
        <f aca="false">'W Programs'!$N$12</f>
        <v>0.3</v>
      </c>
      <c r="L292" s="81" t="n">
        <f aca="false">H292*K292+H264*(1-K292)</f>
        <v>10000</v>
      </c>
      <c r="M292" s="81" t="n">
        <f aca="false">L292*'W Programs'!$M$12*'W Programs'!$O$12</f>
        <v>0</v>
      </c>
      <c r="N292" s="81" t="n">
        <f aca="false">I292*'W Assumptions'!$D$55+I278*(1-'W Assumptions'!$D$55)</f>
        <v>1200</v>
      </c>
      <c r="O292" s="81" t="n">
        <f aca="false">H292-I292-J292</f>
        <v>8800</v>
      </c>
    </row>
    <row r="293" customFormat="false" ht="21" hidden="false" customHeight="true" outlineLevel="0" collapsed="false">
      <c r="C293" s="144" t="n">
        <f aca="false">46874</f>
        <v>46874</v>
      </c>
      <c r="D293" s="81" t="n">
        <f aca="false">2</f>
        <v>2</v>
      </c>
      <c r="E293" s="81" t="str">
        <f aca="false">'W Programs'!C13</f>
        <v>WOO IP</v>
      </c>
      <c r="F293" s="81" t="str">
        <f aca="false">'W Programs'!D13</f>
        <v>Schools</v>
      </c>
      <c r="G293" s="145" t="n">
        <f aca="false">INDEX('W Programs'!$F$13:$H$13,1,D293)*INDEX('W Assumptions'!$D$7:$F$7,1,D293)*'W Assumptions'!E103/SUM('W Assumptions'!E$95:E$106)</f>
        <v>0.7</v>
      </c>
      <c r="H293" s="81" t="n">
        <f aca="false">G293*INDEX('W Programs'!$I$13:$K$13,1,D293)*INDEX('W Assumptions'!$D$12:$F$12,1,D293)</f>
        <v>119000</v>
      </c>
      <c r="I293" s="81" t="n">
        <f aca="false">H293*CHOOSE(D293,'W Programs'!L13,'W Programs'!Q13,'W Programs'!R13)*INDEX('W Assumptions'!$D$17:$F$17,1,D293)</f>
        <v>47600</v>
      </c>
      <c r="J293" s="81" t="n">
        <f aca="false">H293*'W Programs'!$M$13*'W Programs'!$O$13</f>
        <v>0</v>
      </c>
      <c r="K293" s="149" t="n">
        <f aca="false">'W Programs'!$N$13</f>
        <v>0.3</v>
      </c>
      <c r="L293" s="81" t="n">
        <f aca="false">H293*K293+H265*(1-K293)</f>
        <v>119000</v>
      </c>
      <c r="M293" s="81" t="n">
        <f aca="false">L293*'W Programs'!$M$13*'W Programs'!$O$13</f>
        <v>0</v>
      </c>
      <c r="N293" s="81" t="n">
        <f aca="false">I293*'W Assumptions'!$D$55+I279*(1-'W Assumptions'!$D$55)</f>
        <v>47600</v>
      </c>
      <c r="O293" s="81" t="n">
        <f aca="false">H293-I293-J293</f>
        <v>71400</v>
      </c>
    </row>
    <row r="294" customFormat="false" ht="21" hidden="false" customHeight="true" outlineLevel="0" collapsed="false">
      <c r="C294" s="144" t="n">
        <f aca="false">46874</f>
        <v>46874</v>
      </c>
      <c r="D294" s="81" t="n">
        <f aca="false">2</f>
        <v>2</v>
      </c>
      <c r="E294" s="81" t="str">
        <f aca="false">'W Programs'!C14</f>
        <v>WOO IP</v>
      </c>
      <c r="F294" s="81" t="str">
        <f aca="false">'W Programs'!D14</f>
        <v>Activations</v>
      </c>
      <c r="G294" s="145" t="n">
        <f aca="false">INDEX('W Programs'!$F$14:$H$14,1,D294)*INDEX('W Assumptions'!$D$7:$F$7,1,D294)*'W Assumptions'!E103/SUM('W Assumptions'!E$95:E$106)</f>
        <v>0.9</v>
      </c>
      <c r="H294" s="81" t="n">
        <f aca="false">G294*INDEX('W Programs'!$I$14:$K$14,1,D294)*INDEX('W Assumptions'!$D$12:$F$12,1,D294)</f>
        <v>67500</v>
      </c>
      <c r="I294" s="81" t="n">
        <f aca="false">H294*CHOOSE(D294,'W Programs'!L14,'W Programs'!Q14,'W Programs'!R14)*INDEX('W Assumptions'!$D$17:$F$17,1,D294)</f>
        <v>35100</v>
      </c>
      <c r="J294" s="81" t="n">
        <f aca="false">H294*'W Programs'!$M$14*'W Programs'!$O$14</f>
        <v>0</v>
      </c>
      <c r="K294" s="149" t="n">
        <f aca="false">'W Programs'!$N$14</f>
        <v>0.3</v>
      </c>
      <c r="L294" s="81" t="n">
        <f aca="false">H294*K294+H266*(1-K294)</f>
        <v>67500</v>
      </c>
      <c r="M294" s="81" t="n">
        <f aca="false">L294*'W Programs'!$M$14*'W Programs'!$O$14</f>
        <v>0</v>
      </c>
      <c r="N294" s="81" t="n">
        <f aca="false">I294*'W Assumptions'!$D$55+I280*(1-'W Assumptions'!$D$55)</f>
        <v>35100</v>
      </c>
      <c r="O294" s="81" t="n">
        <f aca="false">H294-I294-J294</f>
        <v>32400</v>
      </c>
    </row>
    <row r="295" customFormat="false" ht="21" hidden="false" customHeight="true" outlineLevel="0" collapsed="false">
      <c r="C295" s="144" t="n">
        <f aca="false">46874</f>
        <v>46874</v>
      </c>
      <c r="D295" s="81" t="n">
        <f aca="false">2</f>
        <v>2</v>
      </c>
      <c r="E295" s="81" t="str">
        <f aca="false">'W Programs'!C15</f>
        <v>WOO IP</v>
      </c>
      <c r="F295" s="81" t="str">
        <f aca="false">'W Programs'!D15</f>
        <v>Workshops</v>
      </c>
      <c r="G295" s="145" t="n">
        <f aca="false">INDEX('W Programs'!$F$15:$H$15,1,D295)*INDEX('W Assumptions'!$D$7:$F$7,1,D295)*'W Assumptions'!E103/SUM('W Assumptions'!E$95:E$106)</f>
        <v>8</v>
      </c>
      <c r="H295" s="81" t="n">
        <f aca="false">G295*INDEX('W Programs'!$I$15:$K$15,1,D295)*INDEX('W Assumptions'!$D$12:$F$12,1,D295)</f>
        <v>40000</v>
      </c>
      <c r="I295" s="81" t="n">
        <f aca="false">H295*CHOOSE(D295,'W Programs'!L15,'W Programs'!Q15,'W Programs'!R15)*INDEX('W Assumptions'!$D$17:$F$17,1,D295)</f>
        <v>16800</v>
      </c>
      <c r="J295" s="81" t="n">
        <f aca="false">H295*'W Programs'!$M$15*'W Programs'!$O$15</f>
        <v>0</v>
      </c>
      <c r="K295" s="149" t="n">
        <f aca="false">'W Programs'!$N$15</f>
        <v>0.7</v>
      </c>
      <c r="L295" s="81" t="n">
        <f aca="false">H295*K295+H267*(1-K295)</f>
        <v>40000</v>
      </c>
      <c r="M295" s="81" t="n">
        <f aca="false">L295*'W Programs'!$M$15*'W Programs'!$O$15</f>
        <v>0</v>
      </c>
      <c r="N295" s="81" t="n">
        <f aca="false">I295*'W Assumptions'!$D$55+I281*(1-'W Assumptions'!$D$55)</f>
        <v>16800</v>
      </c>
      <c r="O295" s="81" t="n">
        <f aca="false">H295-I295-J295</f>
        <v>23200</v>
      </c>
    </row>
    <row r="296" customFormat="false" ht="21" hidden="false" customHeight="true" outlineLevel="0" collapsed="false">
      <c r="C296" s="144" t="n">
        <f aca="false">46874</f>
        <v>46874</v>
      </c>
      <c r="D296" s="81" t="n">
        <f aca="false">2</f>
        <v>2</v>
      </c>
      <c r="E296" s="81" t="str">
        <f aca="false">'W Programs'!C16</f>
        <v>WOO IP</v>
      </c>
      <c r="F296" s="81" t="str">
        <f aca="false">'W Programs'!D16</f>
        <v>Installations</v>
      </c>
      <c r="G296" s="145" t="n">
        <f aca="false">INDEX('W Programs'!$F$16:$H$16,1,D296)*INDEX('W Assumptions'!$D$7:$F$7,1,D296)*'W Assumptions'!E103/SUM('W Assumptions'!E$95:E$106)</f>
        <v>0.15</v>
      </c>
      <c r="H296" s="81" t="n">
        <f aca="false">G296*INDEX('W Programs'!$I$16:$K$16,1,D296)*INDEX('W Assumptions'!$D$12:$F$12,1,D296)</f>
        <v>45000</v>
      </c>
      <c r="I296" s="81" t="n">
        <f aca="false">H296*CHOOSE(D296,'W Programs'!L16,'W Programs'!Q16,'W Programs'!R16)*INDEX('W Assumptions'!$D$17:$F$17,1,D296)</f>
        <v>27000</v>
      </c>
      <c r="J296" s="81" t="n">
        <f aca="false">H296*'W Programs'!$M$16*'W Programs'!$O$16</f>
        <v>0</v>
      </c>
      <c r="K296" s="149" t="n">
        <f aca="false">'W Programs'!$N$16</f>
        <v>0.3</v>
      </c>
      <c r="L296" s="81" t="n">
        <f aca="false">H296*K296+H268*(1-K296)</f>
        <v>45000</v>
      </c>
      <c r="M296" s="81" t="n">
        <f aca="false">L296*'W Programs'!$M$16*'W Programs'!$O$16</f>
        <v>0</v>
      </c>
      <c r="N296" s="81" t="n">
        <f aca="false">I296*'W Assumptions'!$D$55+I282*(1-'W Assumptions'!$D$55)</f>
        <v>27000</v>
      </c>
      <c r="O296" s="81" t="n">
        <f aca="false">H296-I296-J296</f>
        <v>18000</v>
      </c>
    </row>
    <row r="297" customFormat="false" ht="21" hidden="false" customHeight="true" outlineLevel="0" collapsed="false">
      <c r="C297" s="144" t="n">
        <f aca="false">46874</f>
        <v>46874</v>
      </c>
      <c r="D297" s="81" t="n">
        <f aca="false">2</f>
        <v>2</v>
      </c>
      <c r="E297" s="81" t="str">
        <f aca="false">'W Programs'!C17</f>
        <v>WOO IP</v>
      </c>
      <c r="F297" s="81" t="str">
        <f aca="false">'W Programs'!D17</f>
        <v>Digital</v>
      </c>
      <c r="G297" s="145" t="n">
        <f aca="false">INDEX('W Programs'!$F$17:$H$17,1,D297)*INDEX('W Assumptions'!$D$7:$F$7,1,D297)*'W Assumptions'!E103/SUM('W Assumptions'!E$95:E$106)</f>
        <v>75</v>
      </c>
      <c r="H297" s="81" t="n">
        <f aca="false">G297*INDEX('W Programs'!$I$17:$K$17,1,D297)*INDEX('W Assumptions'!$D$12:$F$12,1,D297)</f>
        <v>26250</v>
      </c>
      <c r="I297" s="81" t="n">
        <f aca="false">H297*CHOOSE(D297,'W Programs'!L17,'W Programs'!Q17,'W Programs'!R17)*INDEX('W Assumptions'!$D$17:$F$17,1,D297)</f>
        <v>4725</v>
      </c>
      <c r="J297" s="81" t="n">
        <f aca="false">H297*'W Programs'!$M$17*'W Programs'!$O$17</f>
        <v>0</v>
      </c>
      <c r="K297" s="149" t="n">
        <f aca="false">'W Programs'!$N$17</f>
        <v>1</v>
      </c>
      <c r="L297" s="81" t="n">
        <f aca="false">H297*K297+H269*(1-K297)</f>
        <v>26250</v>
      </c>
      <c r="M297" s="81" t="n">
        <f aca="false">L297*'W Programs'!$M$17*'W Programs'!$O$17</f>
        <v>0</v>
      </c>
      <c r="N297" s="81" t="n">
        <f aca="false">I297*'W Assumptions'!$D$55+I283*(1-'W Assumptions'!$D$55)</f>
        <v>4725</v>
      </c>
      <c r="O297" s="81" t="n">
        <f aca="false">H297-I297-J297</f>
        <v>21525</v>
      </c>
    </row>
    <row r="298" customFormat="false" ht="21" hidden="false" customHeight="true" outlineLevel="0" collapsed="false">
      <c r="C298" s="144" t="n">
        <f aca="false">46874</f>
        <v>46874</v>
      </c>
      <c r="D298" s="81" t="n">
        <f aca="false">2</f>
        <v>2</v>
      </c>
      <c r="E298" s="81" t="str">
        <f aca="false">'W Programs'!C18</f>
        <v>WOO IP</v>
      </c>
      <c r="F298" s="81" t="str">
        <f aca="false">'W Programs'!D18</f>
        <v>Retail</v>
      </c>
      <c r="G298" s="145" t="n">
        <f aca="false">INDEX('W Programs'!$F$18:$H$18,1,D298)*INDEX('W Assumptions'!$D$7:$F$7,1,D298)*'W Assumptions'!E103/SUM('W Assumptions'!E$95:E$106)</f>
        <v>200</v>
      </c>
      <c r="H298" s="81" t="n">
        <f aca="false">G298*INDEX('W Programs'!$I$18:$K$18,1,D298)*INDEX('W Assumptions'!$D$12:$F$12,1,D298)</f>
        <v>50000</v>
      </c>
      <c r="I298" s="81" t="n">
        <f aca="false">H298*CHOOSE(D298,'W Programs'!L18,'W Programs'!Q18,'W Programs'!R18)*INDEX('W Assumptions'!$D$17:$F$17,1,D298)</f>
        <v>25000</v>
      </c>
      <c r="J298" s="81" t="n">
        <f aca="false">H298*'W Programs'!$M$18*'W Programs'!$O$18</f>
        <v>0</v>
      </c>
      <c r="K298" s="149" t="n">
        <f aca="false">'W Programs'!$N$18</f>
        <v>1</v>
      </c>
      <c r="L298" s="81" t="n">
        <f aca="false">H298*K298+H270*(1-K298)</f>
        <v>50000</v>
      </c>
      <c r="M298" s="81" t="n">
        <f aca="false">L298*'W Programs'!$M$18*'W Programs'!$O$18</f>
        <v>0</v>
      </c>
      <c r="N298" s="81" t="n">
        <f aca="false">I298*'W Assumptions'!$D$55+I284*(1-'W Assumptions'!$D$55)</f>
        <v>25000</v>
      </c>
      <c r="O298" s="81" t="n">
        <f aca="false">H298-I298-J298</f>
        <v>25000</v>
      </c>
    </row>
    <row r="299" customFormat="false" ht="21" hidden="false" customHeight="true" outlineLevel="0" collapsed="false">
      <c r="C299" s="144" t="n">
        <f aca="false">46874</f>
        <v>46874</v>
      </c>
      <c r="D299" s="81" t="n">
        <f aca="false">2</f>
        <v>2</v>
      </c>
      <c r="E299" s="81" t="str">
        <f aca="false">'W Programs'!C19</f>
        <v>WOO IP</v>
      </c>
      <c r="F299" s="81" t="str">
        <f aca="false">'W Programs'!D19</f>
        <v>Licensing</v>
      </c>
      <c r="G299" s="145" t="n">
        <f aca="false">INDEX('W Programs'!$F$19:$H$19,1,D299)*INDEX('W Assumptions'!$D$7:$F$7,1,D299)*'W Assumptions'!E103/SUM('W Assumptions'!E$95:E$106)</f>
        <v>0.05</v>
      </c>
      <c r="H299" s="81" t="n">
        <f aca="false">G299*INDEX('W Programs'!$I$19:$K$19,1,D299)*INDEX('W Assumptions'!$D$12:$F$12,1,D299)</f>
        <v>15000</v>
      </c>
      <c r="I299" s="81" t="n">
        <f aca="false">H299*CHOOSE(D299,'W Programs'!L19,'W Programs'!Q19,'W Programs'!R19)*INDEX('W Assumptions'!$D$17:$F$17,1,D299)</f>
        <v>1800</v>
      </c>
      <c r="J299" s="81" t="n">
        <f aca="false">H299*'W Programs'!$M$19*'W Programs'!$O$19</f>
        <v>0</v>
      </c>
      <c r="K299" s="149" t="n">
        <f aca="false">'W Programs'!$N$19</f>
        <v>0.3</v>
      </c>
      <c r="L299" s="81" t="n">
        <f aca="false">H299*K299+H271*(1-K299)</f>
        <v>15000</v>
      </c>
      <c r="M299" s="81" t="n">
        <f aca="false">L299*'W Programs'!$M$19*'W Programs'!$O$19</f>
        <v>0</v>
      </c>
      <c r="N299" s="81" t="n">
        <f aca="false">I299*'W Assumptions'!$D$55+I285*(1-'W Assumptions'!$D$55)</f>
        <v>1800</v>
      </c>
      <c r="O299" s="81" t="n">
        <f aca="false">H299-I299-J299</f>
        <v>13200</v>
      </c>
    </row>
    <row r="300" customFormat="false" ht="21" hidden="false" customHeight="true" outlineLevel="0" collapsed="false">
      <c r="C300" s="144" t="n">
        <f aca="false">46905</f>
        <v>46905</v>
      </c>
      <c r="D300" s="81" t="n">
        <f aca="false">2</f>
        <v>2</v>
      </c>
      <c r="E300" s="81" t="str">
        <f aca="false">'W Programs'!C6</f>
        <v>TLI</v>
      </c>
      <c r="F300" s="81" t="str">
        <f aca="false">'W Programs'!D6</f>
        <v>Schools</v>
      </c>
      <c r="G300" s="145" t="n">
        <f aca="false">INDEX('W Programs'!$F$6:$H$6,1,D300)*INDEX('W Assumptions'!$D$7:$F$7,1,D300)*'W Assumptions'!E104/SUM('W Assumptions'!E$95:E$106)</f>
        <v>0.466666666666667</v>
      </c>
      <c r="H300" s="81" t="n">
        <f aca="false">G300*INDEX('W Programs'!$I$6:$K$6,1,D300)*INDEX('W Assumptions'!$D$12:$F$12,1,D300)</f>
        <v>79333.3333333333</v>
      </c>
      <c r="I300" s="81" t="n">
        <f aca="false">H300*CHOOSE(D300,'W Programs'!L6,'W Programs'!Q6,'W Programs'!R6)*INDEX('W Assumptions'!$D$17:$F$17,1,D300)</f>
        <v>31733.3333333333</v>
      </c>
      <c r="J300" s="81" t="n">
        <f aca="false">H300*'W Programs'!$M$6*'W Programs'!$O$6</f>
        <v>0</v>
      </c>
      <c r="K300" s="149" t="n">
        <f aca="false">'W Programs'!$N$6</f>
        <v>0.3</v>
      </c>
      <c r="L300" s="81" t="n">
        <f aca="false">H300*K300+H272*(1-K300)</f>
        <v>79333.3333333333</v>
      </c>
      <c r="M300" s="81" t="n">
        <f aca="false">L300*'W Programs'!$M$6*'W Programs'!$O$6</f>
        <v>0</v>
      </c>
      <c r="N300" s="81" t="n">
        <f aca="false">I300*'W Assumptions'!$D$55+I286*(1-'W Assumptions'!$D$55)</f>
        <v>31733.3333333333</v>
      </c>
      <c r="O300" s="81" t="n">
        <f aca="false">H300-I300-J300</f>
        <v>47600</v>
      </c>
    </row>
    <row r="301" customFormat="false" ht="21" hidden="false" customHeight="true" outlineLevel="0" collapsed="false">
      <c r="C301" s="144" t="n">
        <f aca="false">46905</f>
        <v>46905</v>
      </c>
      <c r="D301" s="81" t="n">
        <f aca="false">2</f>
        <v>2</v>
      </c>
      <c r="E301" s="81" t="str">
        <f aca="false">'W Programs'!C7</f>
        <v>TLI</v>
      </c>
      <c r="F301" s="81" t="str">
        <f aca="false">'W Programs'!D7</f>
        <v>Activations</v>
      </c>
      <c r="G301" s="145" t="n">
        <f aca="false">INDEX('W Programs'!$F$7:$H$7,1,D301)*INDEX('W Assumptions'!$D$7:$F$7,1,D301)*'W Assumptions'!E104/SUM('W Assumptions'!E$95:E$106)</f>
        <v>0.6</v>
      </c>
      <c r="H301" s="81" t="n">
        <f aca="false">G301*INDEX('W Programs'!$I$7:$K$7,1,D301)*INDEX('W Assumptions'!$D$12:$F$12,1,D301)</f>
        <v>45000</v>
      </c>
      <c r="I301" s="81" t="n">
        <f aca="false">H301*CHOOSE(D301,'W Programs'!L7,'W Programs'!Q7,'W Programs'!R7)*INDEX('W Assumptions'!$D$17:$F$17,1,D301)</f>
        <v>23400</v>
      </c>
      <c r="J301" s="81" t="n">
        <f aca="false">H301*'W Programs'!$M$7*'W Programs'!$O$7</f>
        <v>0</v>
      </c>
      <c r="K301" s="149" t="n">
        <f aca="false">'W Programs'!$N$7</f>
        <v>0.3</v>
      </c>
      <c r="L301" s="81" t="n">
        <f aca="false">H301*K301+H273*(1-K301)</f>
        <v>45000</v>
      </c>
      <c r="M301" s="81" t="n">
        <f aca="false">L301*'W Programs'!$M$7*'W Programs'!$O$7</f>
        <v>0</v>
      </c>
      <c r="N301" s="81" t="n">
        <f aca="false">I301*'W Assumptions'!$D$55+I287*(1-'W Assumptions'!$D$55)</f>
        <v>23400</v>
      </c>
      <c r="O301" s="81" t="n">
        <f aca="false">H301-I301-J301</f>
        <v>21600</v>
      </c>
    </row>
    <row r="302" customFormat="false" ht="21" hidden="false" customHeight="true" outlineLevel="0" collapsed="false">
      <c r="C302" s="144" t="n">
        <f aca="false">46905</f>
        <v>46905</v>
      </c>
      <c r="D302" s="81" t="n">
        <f aca="false">2</f>
        <v>2</v>
      </c>
      <c r="E302" s="81" t="str">
        <f aca="false">'W Programs'!C8</f>
        <v>TLI</v>
      </c>
      <c r="F302" s="81" t="str">
        <f aca="false">'W Programs'!D8</f>
        <v>Workshops</v>
      </c>
      <c r="G302" s="145" t="n">
        <f aca="false">INDEX('W Programs'!$F$8:$H$8,1,D302)*INDEX('W Assumptions'!$D$7:$F$7,1,D302)*'W Assumptions'!E104/SUM('W Assumptions'!E$95:E$106)</f>
        <v>5.33333333333333</v>
      </c>
      <c r="H302" s="81" t="n">
        <f aca="false">G302*INDEX('W Programs'!$I$8:$K$8,1,D302)*INDEX('W Assumptions'!$D$12:$F$12,1,D302)</f>
        <v>26666.6666666667</v>
      </c>
      <c r="I302" s="81" t="n">
        <f aca="false">H302*CHOOSE(D302,'W Programs'!L8,'W Programs'!Q8,'W Programs'!R8)*INDEX('W Assumptions'!$D$17:$F$17,1,D302)</f>
        <v>11200</v>
      </c>
      <c r="J302" s="81" t="n">
        <f aca="false">H302*'W Programs'!$M$8*'W Programs'!$O$8</f>
        <v>0</v>
      </c>
      <c r="K302" s="149" t="n">
        <f aca="false">'W Programs'!$N$8</f>
        <v>0.7</v>
      </c>
      <c r="L302" s="81" t="n">
        <f aca="false">H302*K302+H274*(1-K302)</f>
        <v>26666.6666666667</v>
      </c>
      <c r="M302" s="81" t="n">
        <f aca="false">L302*'W Programs'!$M$8*'W Programs'!$O$8</f>
        <v>0</v>
      </c>
      <c r="N302" s="81" t="n">
        <f aca="false">I302*'W Assumptions'!$D$55+I288*(1-'W Assumptions'!$D$55)</f>
        <v>11200</v>
      </c>
      <c r="O302" s="81" t="n">
        <f aca="false">H302-I302-J302</f>
        <v>15466.6666666667</v>
      </c>
    </row>
    <row r="303" customFormat="false" ht="21" hidden="false" customHeight="true" outlineLevel="0" collapsed="false">
      <c r="C303" s="144" t="n">
        <f aca="false">46905</f>
        <v>46905</v>
      </c>
      <c r="D303" s="81" t="n">
        <f aca="false">2</f>
        <v>2</v>
      </c>
      <c r="E303" s="81" t="str">
        <f aca="false">'W Programs'!C9</f>
        <v>TLI</v>
      </c>
      <c r="F303" s="81" t="str">
        <f aca="false">'W Programs'!D9</f>
        <v>Installations</v>
      </c>
      <c r="G303" s="145" t="n">
        <f aca="false">INDEX('W Programs'!$F$9:$H$9,1,D303)*INDEX('W Assumptions'!$D$7:$F$7,1,D303)*'W Assumptions'!E104/SUM('W Assumptions'!E$95:E$106)</f>
        <v>0.1</v>
      </c>
      <c r="H303" s="81" t="n">
        <f aca="false">G303*INDEX('W Programs'!$I$9:$K$9,1,D303)*INDEX('W Assumptions'!$D$12:$F$12,1,D303)</f>
        <v>30000</v>
      </c>
      <c r="I303" s="81" t="n">
        <f aca="false">H303*CHOOSE(D303,'W Programs'!L9,'W Programs'!Q9,'W Programs'!R9)*INDEX('W Assumptions'!$D$17:$F$17,1,D303)</f>
        <v>18000</v>
      </c>
      <c r="J303" s="81" t="n">
        <f aca="false">H303*'W Programs'!$M$9*'W Programs'!$O$9</f>
        <v>0</v>
      </c>
      <c r="K303" s="149" t="n">
        <f aca="false">'W Programs'!$N$9</f>
        <v>0.3</v>
      </c>
      <c r="L303" s="81" t="n">
        <f aca="false">H303*K303+H275*(1-K303)</f>
        <v>30000</v>
      </c>
      <c r="M303" s="81" t="n">
        <f aca="false">L303*'W Programs'!$M$9*'W Programs'!$O$9</f>
        <v>0</v>
      </c>
      <c r="N303" s="81" t="n">
        <f aca="false">I303*'W Assumptions'!$D$55+I289*(1-'W Assumptions'!$D$55)</f>
        <v>18000</v>
      </c>
      <c r="O303" s="81" t="n">
        <f aca="false">H303-I303-J303</f>
        <v>12000</v>
      </c>
    </row>
    <row r="304" customFormat="false" ht="21" hidden="false" customHeight="true" outlineLevel="0" collapsed="false">
      <c r="C304" s="144" t="n">
        <f aca="false">46905</f>
        <v>46905</v>
      </c>
      <c r="D304" s="81" t="n">
        <f aca="false">2</f>
        <v>2</v>
      </c>
      <c r="E304" s="81" t="str">
        <f aca="false">'W Programs'!C10</f>
        <v>TLI</v>
      </c>
      <c r="F304" s="81" t="str">
        <f aca="false">'W Programs'!D10</f>
        <v>Digital</v>
      </c>
      <c r="G304" s="145" t="n">
        <f aca="false">INDEX('W Programs'!$F$10:$H$10,1,D304)*INDEX('W Assumptions'!$D$7:$F$7,1,D304)*'W Assumptions'!E104/SUM('W Assumptions'!E$95:E$106)</f>
        <v>50</v>
      </c>
      <c r="H304" s="81" t="n">
        <f aca="false">G304*INDEX('W Programs'!$I$10:$K$10,1,D304)*INDEX('W Assumptions'!$D$12:$F$12,1,D304)</f>
        <v>17500</v>
      </c>
      <c r="I304" s="81" t="n">
        <f aca="false">H304*CHOOSE(D304,'W Programs'!L10,'W Programs'!Q10,'W Programs'!R10)*INDEX('W Assumptions'!$D$17:$F$17,1,D304)</f>
        <v>3150</v>
      </c>
      <c r="J304" s="81" t="n">
        <f aca="false">H304*'W Programs'!$M$10*'W Programs'!$O$10</f>
        <v>0</v>
      </c>
      <c r="K304" s="149" t="n">
        <f aca="false">'W Programs'!$N$10</f>
        <v>1</v>
      </c>
      <c r="L304" s="81" t="n">
        <f aca="false">H304*K304+H276*(1-K304)</f>
        <v>17500</v>
      </c>
      <c r="M304" s="81" t="n">
        <f aca="false">L304*'W Programs'!$M$10*'W Programs'!$O$10</f>
        <v>0</v>
      </c>
      <c r="N304" s="81" t="n">
        <f aca="false">I304*'W Assumptions'!$D$55+I290*(1-'W Assumptions'!$D$55)</f>
        <v>3150</v>
      </c>
      <c r="O304" s="81" t="n">
        <f aca="false">H304-I304-J304</f>
        <v>14350</v>
      </c>
    </row>
    <row r="305" customFormat="false" ht="21" hidden="false" customHeight="true" outlineLevel="0" collapsed="false">
      <c r="C305" s="144" t="n">
        <f aca="false">46905</f>
        <v>46905</v>
      </c>
      <c r="D305" s="81" t="n">
        <f aca="false">2</f>
        <v>2</v>
      </c>
      <c r="E305" s="81" t="str">
        <f aca="false">'W Programs'!C11</f>
        <v>TLI</v>
      </c>
      <c r="F305" s="81" t="str">
        <f aca="false">'W Programs'!D11</f>
        <v>Retail</v>
      </c>
      <c r="G305" s="145" t="n">
        <f aca="false">INDEX('W Programs'!$F$11:$H$11,1,D305)*INDEX('W Assumptions'!$D$7:$F$7,1,D305)*'W Assumptions'!E104/SUM('W Assumptions'!E$95:E$106)</f>
        <v>133.333333333333</v>
      </c>
      <c r="H305" s="81" t="n">
        <f aca="false">G305*INDEX('W Programs'!$I$11:$K$11,1,D305)*INDEX('W Assumptions'!$D$12:$F$12,1,D305)</f>
        <v>33333.3333333333</v>
      </c>
      <c r="I305" s="81" t="n">
        <f aca="false">H305*CHOOSE(D305,'W Programs'!L11,'W Programs'!Q11,'W Programs'!R11)*INDEX('W Assumptions'!$D$17:$F$17,1,D305)</f>
        <v>16666.6666666667</v>
      </c>
      <c r="J305" s="81" t="n">
        <f aca="false">H305*'W Programs'!$M$11*'W Programs'!$O$11</f>
        <v>0</v>
      </c>
      <c r="K305" s="149" t="n">
        <f aca="false">'W Programs'!$N$11</f>
        <v>1</v>
      </c>
      <c r="L305" s="81" t="n">
        <f aca="false">H305*K305+H277*(1-K305)</f>
        <v>33333.3333333333</v>
      </c>
      <c r="M305" s="81" t="n">
        <f aca="false">L305*'W Programs'!$M$11*'W Programs'!$O$11</f>
        <v>0</v>
      </c>
      <c r="N305" s="81" t="n">
        <f aca="false">I305*'W Assumptions'!$D$55+I291*(1-'W Assumptions'!$D$55)</f>
        <v>16666.6666666667</v>
      </c>
      <c r="O305" s="81" t="n">
        <f aca="false">H305-I305-J305</f>
        <v>16666.6666666667</v>
      </c>
    </row>
    <row r="306" customFormat="false" ht="21" hidden="false" customHeight="true" outlineLevel="0" collapsed="false">
      <c r="C306" s="144" t="n">
        <f aca="false">46905</f>
        <v>46905</v>
      </c>
      <c r="D306" s="81" t="n">
        <f aca="false">2</f>
        <v>2</v>
      </c>
      <c r="E306" s="81" t="str">
        <f aca="false">'W Programs'!C12</f>
        <v>TLI</v>
      </c>
      <c r="F306" s="81" t="str">
        <f aca="false">'W Programs'!D12</f>
        <v>Licensing</v>
      </c>
      <c r="G306" s="145" t="n">
        <f aca="false">INDEX('W Programs'!$F$12:$H$12,1,D306)*INDEX('W Assumptions'!$D$7:$F$7,1,D306)*'W Assumptions'!E104/SUM('W Assumptions'!E$95:E$106)</f>
        <v>0.0333333333333333</v>
      </c>
      <c r="H306" s="81" t="n">
        <f aca="false">G306*INDEX('W Programs'!$I$12:$K$12,1,D306)*INDEX('W Assumptions'!$D$12:$F$12,1,D306)</f>
        <v>10000</v>
      </c>
      <c r="I306" s="81" t="n">
        <f aca="false">H306*CHOOSE(D306,'W Programs'!L12,'W Programs'!Q12,'W Programs'!R12)*INDEX('W Assumptions'!$D$17:$F$17,1,D306)</f>
        <v>1200</v>
      </c>
      <c r="J306" s="81" t="n">
        <f aca="false">H306*'W Programs'!$M$12*'W Programs'!$O$12</f>
        <v>0</v>
      </c>
      <c r="K306" s="149" t="n">
        <f aca="false">'W Programs'!$N$12</f>
        <v>0.3</v>
      </c>
      <c r="L306" s="81" t="n">
        <f aca="false">H306*K306+H278*(1-K306)</f>
        <v>10000</v>
      </c>
      <c r="M306" s="81" t="n">
        <f aca="false">L306*'W Programs'!$M$12*'W Programs'!$O$12</f>
        <v>0</v>
      </c>
      <c r="N306" s="81" t="n">
        <f aca="false">I306*'W Assumptions'!$D$55+I292*(1-'W Assumptions'!$D$55)</f>
        <v>1200</v>
      </c>
      <c r="O306" s="81" t="n">
        <f aca="false">H306-I306-J306</f>
        <v>8800</v>
      </c>
    </row>
    <row r="307" customFormat="false" ht="21" hidden="false" customHeight="true" outlineLevel="0" collapsed="false">
      <c r="C307" s="144" t="n">
        <f aca="false">46905</f>
        <v>46905</v>
      </c>
      <c r="D307" s="81" t="n">
        <f aca="false">2</f>
        <v>2</v>
      </c>
      <c r="E307" s="81" t="str">
        <f aca="false">'W Programs'!C13</f>
        <v>WOO IP</v>
      </c>
      <c r="F307" s="81" t="str">
        <f aca="false">'W Programs'!D13</f>
        <v>Schools</v>
      </c>
      <c r="G307" s="145" t="n">
        <f aca="false">INDEX('W Programs'!$F$13:$H$13,1,D307)*INDEX('W Assumptions'!$D$7:$F$7,1,D307)*'W Assumptions'!E104/SUM('W Assumptions'!E$95:E$106)</f>
        <v>0.7</v>
      </c>
      <c r="H307" s="81" t="n">
        <f aca="false">G307*INDEX('W Programs'!$I$13:$K$13,1,D307)*INDEX('W Assumptions'!$D$12:$F$12,1,D307)</f>
        <v>119000</v>
      </c>
      <c r="I307" s="81" t="n">
        <f aca="false">H307*CHOOSE(D307,'W Programs'!L13,'W Programs'!Q13,'W Programs'!R13)*INDEX('W Assumptions'!$D$17:$F$17,1,D307)</f>
        <v>47600</v>
      </c>
      <c r="J307" s="81" t="n">
        <f aca="false">H307*'W Programs'!$M$13*'W Programs'!$O$13</f>
        <v>0</v>
      </c>
      <c r="K307" s="149" t="n">
        <f aca="false">'W Programs'!$N$13</f>
        <v>0.3</v>
      </c>
      <c r="L307" s="81" t="n">
        <f aca="false">H307*K307+H279*(1-K307)</f>
        <v>119000</v>
      </c>
      <c r="M307" s="81" t="n">
        <f aca="false">L307*'W Programs'!$M$13*'W Programs'!$O$13</f>
        <v>0</v>
      </c>
      <c r="N307" s="81" t="n">
        <f aca="false">I307*'W Assumptions'!$D$55+I293*(1-'W Assumptions'!$D$55)</f>
        <v>47600</v>
      </c>
      <c r="O307" s="81" t="n">
        <f aca="false">H307-I307-J307</f>
        <v>71400</v>
      </c>
    </row>
    <row r="308" customFormat="false" ht="21" hidden="false" customHeight="true" outlineLevel="0" collapsed="false">
      <c r="C308" s="144" t="n">
        <f aca="false">46905</f>
        <v>46905</v>
      </c>
      <c r="D308" s="81" t="n">
        <f aca="false">2</f>
        <v>2</v>
      </c>
      <c r="E308" s="81" t="str">
        <f aca="false">'W Programs'!C14</f>
        <v>WOO IP</v>
      </c>
      <c r="F308" s="81" t="str">
        <f aca="false">'W Programs'!D14</f>
        <v>Activations</v>
      </c>
      <c r="G308" s="145" t="n">
        <f aca="false">INDEX('W Programs'!$F$14:$H$14,1,D308)*INDEX('W Assumptions'!$D$7:$F$7,1,D308)*'W Assumptions'!E104/SUM('W Assumptions'!E$95:E$106)</f>
        <v>0.9</v>
      </c>
      <c r="H308" s="81" t="n">
        <f aca="false">G308*INDEX('W Programs'!$I$14:$K$14,1,D308)*INDEX('W Assumptions'!$D$12:$F$12,1,D308)</f>
        <v>67500</v>
      </c>
      <c r="I308" s="81" t="n">
        <f aca="false">H308*CHOOSE(D308,'W Programs'!L14,'W Programs'!Q14,'W Programs'!R14)*INDEX('W Assumptions'!$D$17:$F$17,1,D308)</f>
        <v>35100</v>
      </c>
      <c r="J308" s="81" t="n">
        <f aca="false">H308*'W Programs'!$M$14*'W Programs'!$O$14</f>
        <v>0</v>
      </c>
      <c r="K308" s="149" t="n">
        <f aca="false">'W Programs'!$N$14</f>
        <v>0.3</v>
      </c>
      <c r="L308" s="81" t="n">
        <f aca="false">H308*K308+H280*(1-K308)</f>
        <v>67500</v>
      </c>
      <c r="M308" s="81" t="n">
        <f aca="false">L308*'W Programs'!$M$14*'W Programs'!$O$14</f>
        <v>0</v>
      </c>
      <c r="N308" s="81" t="n">
        <f aca="false">I308*'W Assumptions'!$D$55+I294*(1-'W Assumptions'!$D$55)</f>
        <v>35100</v>
      </c>
      <c r="O308" s="81" t="n">
        <f aca="false">H308-I308-J308</f>
        <v>32400</v>
      </c>
    </row>
    <row r="309" customFormat="false" ht="21" hidden="false" customHeight="true" outlineLevel="0" collapsed="false">
      <c r="C309" s="144" t="n">
        <f aca="false">46905</f>
        <v>46905</v>
      </c>
      <c r="D309" s="81" t="n">
        <f aca="false">2</f>
        <v>2</v>
      </c>
      <c r="E309" s="81" t="str">
        <f aca="false">'W Programs'!C15</f>
        <v>WOO IP</v>
      </c>
      <c r="F309" s="81" t="str">
        <f aca="false">'W Programs'!D15</f>
        <v>Workshops</v>
      </c>
      <c r="G309" s="145" t="n">
        <f aca="false">INDEX('W Programs'!$F$15:$H$15,1,D309)*INDEX('W Assumptions'!$D$7:$F$7,1,D309)*'W Assumptions'!E104/SUM('W Assumptions'!E$95:E$106)</f>
        <v>8</v>
      </c>
      <c r="H309" s="81" t="n">
        <f aca="false">G309*INDEX('W Programs'!$I$15:$K$15,1,D309)*INDEX('W Assumptions'!$D$12:$F$12,1,D309)</f>
        <v>40000</v>
      </c>
      <c r="I309" s="81" t="n">
        <f aca="false">H309*CHOOSE(D309,'W Programs'!L15,'W Programs'!Q15,'W Programs'!R15)*INDEX('W Assumptions'!$D$17:$F$17,1,D309)</f>
        <v>16800</v>
      </c>
      <c r="J309" s="81" t="n">
        <f aca="false">H309*'W Programs'!$M$15*'W Programs'!$O$15</f>
        <v>0</v>
      </c>
      <c r="K309" s="149" t="n">
        <f aca="false">'W Programs'!$N$15</f>
        <v>0.7</v>
      </c>
      <c r="L309" s="81" t="n">
        <f aca="false">H309*K309+H281*(1-K309)</f>
        <v>40000</v>
      </c>
      <c r="M309" s="81" t="n">
        <f aca="false">L309*'W Programs'!$M$15*'W Programs'!$O$15</f>
        <v>0</v>
      </c>
      <c r="N309" s="81" t="n">
        <f aca="false">I309*'W Assumptions'!$D$55+I295*(1-'W Assumptions'!$D$55)</f>
        <v>16800</v>
      </c>
      <c r="O309" s="81" t="n">
        <f aca="false">H309-I309-J309</f>
        <v>23200</v>
      </c>
    </row>
    <row r="310" customFormat="false" ht="21" hidden="false" customHeight="true" outlineLevel="0" collapsed="false">
      <c r="C310" s="144" t="n">
        <f aca="false">46905</f>
        <v>46905</v>
      </c>
      <c r="D310" s="81" t="n">
        <f aca="false">2</f>
        <v>2</v>
      </c>
      <c r="E310" s="81" t="str">
        <f aca="false">'W Programs'!C16</f>
        <v>WOO IP</v>
      </c>
      <c r="F310" s="81" t="str">
        <f aca="false">'W Programs'!D16</f>
        <v>Installations</v>
      </c>
      <c r="G310" s="145" t="n">
        <f aca="false">INDEX('W Programs'!$F$16:$H$16,1,D310)*INDEX('W Assumptions'!$D$7:$F$7,1,D310)*'W Assumptions'!E104/SUM('W Assumptions'!E$95:E$106)</f>
        <v>0.15</v>
      </c>
      <c r="H310" s="81" t="n">
        <f aca="false">G310*INDEX('W Programs'!$I$16:$K$16,1,D310)*INDEX('W Assumptions'!$D$12:$F$12,1,D310)</f>
        <v>45000</v>
      </c>
      <c r="I310" s="81" t="n">
        <f aca="false">H310*CHOOSE(D310,'W Programs'!L16,'W Programs'!Q16,'W Programs'!R16)*INDEX('W Assumptions'!$D$17:$F$17,1,D310)</f>
        <v>27000</v>
      </c>
      <c r="J310" s="81" t="n">
        <f aca="false">H310*'W Programs'!$M$16*'W Programs'!$O$16</f>
        <v>0</v>
      </c>
      <c r="K310" s="149" t="n">
        <f aca="false">'W Programs'!$N$16</f>
        <v>0.3</v>
      </c>
      <c r="L310" s="81" t="n">
        <f aca="false">H310*K310+H282*(1-K310)</f>
        <v>45000</v>
      </c>
      <c r="M310" s="81" t="n">
        <f aca="false">L310*'W Programs'!$M$16*'W Programs'!$O$16</f>
        <v>0</v>
      </c>
      <c r="N310" s="81" t="n">
        <f aca="false">I310*'W Assumptions'!$D$55+I296*(1-'W Assumptions'!$D$55)</f>
        <v>27000</v>
      </c>
      <c r="O310" s="81" t="n">
        <f aca="false">H310-I310-J310</f>
        <v>18000</v>
      </c>
    </row>
    <row r="311" customFormat="false" ht="21" hidden="false" customHeight="true" outlineLevel="0" collapsed="false">
      <c r="C311" s="144" t="n">
        <f aca="false">46905</f>
        <v>46905</v>
      </c>
      <c r="D311" s="81" t="n">
        <f aca="false">2</f>
        <v>2</v>
      </c>
      <c r="E311" s="81" t="str">
        <f aca="false">'W Programs'!C17</f>
        <v>WOO IP</v>
      </c>
      <c r="F311" s="81" t="str">
        <f aca="false">'W Programs'!D17</f>
        <v>Digital</v>
      </c>
      <c r="G311" s="145" t="n">
        <f aca="false">INDEX('W Programs'!$F$17:$H$17,1,D311)*INDEX('W Assumptions'!$D$7:$F$7,1,D311)*'W Assumptions'!E104/SUM('W Assumptions'!E$95:E$106)</f>
        <v>75</v>
      </c>
      <c r="H311" s="81" t="n">
        <f aca="false">G311*INDEX('W Programs'!$I$17:$K$17,1,D311)*INDEX('W Assumptions'!$D$12:$F$12,1,D311)</f>
        <v>26250</v>
      </c>
      <c r="I311" s="81" t="n">
        <f aca="false">H311*CHOOSE(D311,'W Programs'!L17,'W Programs'!Q17,'W Programs'!R17)*INDEX('W Assumptions'!$D$17:$F$17,1,D311)</f>
        <v>4725</v>
      </c>
      <c r="J311" s="81" t="n">
        <f aca="false">H311*'W Programs'!$M$17*'W Programs'!$O$17</f>
        <v>0</v>
      </c>
      <c r="K311" s="149" t="n">
        <f aca="false">'W Programs'!$N$17</f>
        <v>1</v>
      </c>
      <c r="L311" s="81" t="n">
        <f aca="false">H311*K311+H283*(1-K311)</f>
        <v>26250</v>
      </c>
      <c r="M311" s="81" t="n">
        <f aca="false">L311*'W Programs'!$M$17*'W Programs'!$O$17</f>
        <v>0</v>
      </c>
      <c r="N311" s="81" t="n">
        <f aca="false">I311*'W Assumptions'!$D$55+I297*(1-'W Assumptions'!$D$55)</f>
        <v>4725</v>
      </c>
      <c r="O311" s="81" t="n">
        <f aca="false">H311-I311-J311</f>
        <v>21525</v>
      </c>
    </row>
    <row r="312" customFormat="false" ht="21" hidden="false" customHeight="true" outlineLevel="0" collapsed="false">
      <c r="C312" s="144" t="n">
        <f aca="false">46905</f>
        <v>46905</v>
      </c>
      <c r="D312" s="81" t="n">
        <f aca="false">2</f>
        <v>2</v>
      </c>
      <c r="E312" s="81" t="str">
        <f aca="false">'W Programs'!C18</f>
        <v>WOO IP</v>
      </c>
      <c r="F312" s="81" t="str">
        <f aca="false">'W Programs'!D18</f>
        <v>Retail</v>
      </c>
      <c r="G312" s="145" t="n">
        <f aca="false">INDEX('W Programs'!$F$18:$H$18,1,D312)*INDEX('W Assumptions'!$D$7:$F$7,1,D312)*'W Assumptions'!E104/SUM('W Assumptions'!E$95:E$106)</f>
        <v>200</v>
      </c>
      <c r="H312" s="81" t="n">
        <f aca="false">G312*INDEX('W Programs'!$I$18:$K$18,1,D312)*INDEX('W Assumptions'!$D$12:$F$12,1,D312)</f>
        <v>50000</v>
      </c>
      <c r="I312" s="81" t="n">
        <f aca="false">H312*CHOOSE(D312,'W Programs'!L18,'W Programs'!Q18,'W Programs'!R18)*INDEX('W Assumptions'!$D$17:$F$17,1,D312)</f>
        <v>25000</v>
      </c>
      <c r="J312" s="81" t="n">
        <f aca="false">H312*'W Programs'!$M$18*'W Programs'!$O$18</f>
        <v>0</v>
      </c>
      <c r="K312" s="149" t="n">
        <f aca="false">'W Programs'!$N$18</f>
        <v>1</v>
      </c>
      <c r="L312" s="81" t="n">
        <f aca="false">H312*K312+H284*(1-K312)</f>
        <v>50000</v>
      </c>
      <c r="M312" s="81" t="n">
        <f aca="false">L312*'W Programs'!$M$18*'W Programs'!$O$18</f>
        <v>0</v>
      </c>
      <c r="N312" s="81" t="n">
        <f aca="false">I312*'W Assumptions'!$D$55+I298*(1-'W Assumptions'!$D$55)</f>
        <v>25000</v>
      </c>
      <c r="O312" s="81" t="n">
        <f aca="false">H312-I312-J312</f>
        <v>25000</v>
      </c>
    </row>
    <row r="313" customFormat="false" ht="21" hidden="false" customHeight="true" outlineLevel="0" collapsed="false">
      <c r="C313" s="144" t="n">
        <f aca="false">46905</f>
        <v>46905</v>
      </c>
      <c r="D313" s="81" t="n">
        <f aca="false">2</f>
        <v>2</v>
      </c>
      <c r="E313" s="81" t="str">
        <f aca="false">'W Programs'!C19</f>
        <v>WOO IP</v>
      </c>
      <c r="F313" s="81" t="str">
        <f aca="false">'W Programs'!D19</f>
        <v>Licensing</v>
      </c>
      <c r="G313" s="145" t="n">
        <f aca="false">INDEX('W Programs'!$F$19:$H$19,1,D313)*INDEX('W Assumptions'!$D$7:$F$7,1,D313)*'W Assumptions'!E104/SUM('W Assumptions'!E$95:E$106)</f>
        <v>0.05</v>
      </c>
      <c r="H313" s="81" t="n">
        <f aca="false">G313*INDEX('W Programs'!$I$19:$K$19,1,D313)*INDEX('W Assumptions'!$D$12:$F$12,1,D313)</f>
        <v>15000</v>
      </c>
      <c r="I313" s="81" t="n">
        <f aca="false">H313*CHOOSE(D313,'W Programs'!L19,'W Programs'!Q19,'W Programs'!R19)*INDEX('W Assumptions'!$D$17:$F$17,1,D313)</f>
        <v>1800</v>
      </c>
      <c r="J313" s="81" t="n">
        <f aca="false">H313*'W Programs'!$M$19*'W Programs'!$O$19</f>
        <v>0</v>
      </c>
      <c r="K313" s="149" t="n">
        <f aca="false">'W Programs'!$N$19</f>
        <v>0.3</v>
      </c>
      <c r="L313" s="81" t="n">
        <f aca="false">H313*K313+H285*(1-K313)</f>
        <v>15000</v>
      </c>
      <c r="M313" s="81" t="n">
        <f aca="false">L313*'W Programs'!$M$19*'W Programs'!$O$19</f>
        <v>0</v>
      </c>
      <c r="N313" s="81" t="n">
        <f aca="false">I313*'W Assumptions'!$D$55+I299*(1-'W Assumptions'!$D$55)</f>
        <v>1800</v>
      </c>
      <c r="O313" s="81" t="n">
        <f aca="false">H313-I313-J313</f>
        <v>13200</v>
      </c>
    </row>
    <row r="314" customFormat="false" ht="21" hidden="false" customHeight="true" outlineLevel="0" collapsed="false">
      <c r="C314" s="144" t="n">
        <f aca="false">46935</f>
        <v>46935</v>
      </c>
      <c r="D314" s="81" t="n">
        <f aca="false">2</f>
        <v>2</v>
      </c>
      <c r="E314" s="81" t="str">
        <f aca="false">'W Programs'!C6</f>
        <v>TLI</v>
      </c>
      <c r="F314" s="81" t="str">
        <f aca="false">'W Programs'!D6</f>
        <v>Schools</v>
      </c>
      <c r="G314" s="145" t="n">
        <f aca="false">INDEX('W Programs'!$F$6:$H$6,1,D314)*INDEX('W Assumptions'!$D$7:$F$7,1,D314)*'W Assumptions'!E105/SUM('W Assumptions'!E$95:E$106)</f>
        <v>0.466666666666667</v>
      </c>
      <c r="H314" s="81" t="n">
        <f aca="false">G314*INDEX('W Programs'!$I$6:$K$6,1,D314)*INDEX('W Assumptions'!$D$12:$F$12,1,D314)</f>
        <v>79333.3333333333</v>
      </c>
      <c r="I314" s="81" t="n">
        <f aca="false">H314*CHOOSE(D314,'W Programs'!L6,'W Programs'!Q6,'W Programs'!R6)*INDEX('W Assumptions'!$D$17:$F$17,1,D314)</f>
        <v>31733.3333333333</v>
      </c>
      <c r="J314" s="81" t="n">
        <f aca="false">H314*'W Programs'!$M$6*'W Programs'!$O$6</f>
        <v>0</v>
      </c>
      <c r="K314" s="149" t="n">
        <f aca="false">'W Programs'!$N$6</f>
        <v>0.3</v>
      </c>
      <c r="L314" s="81" t="n">
        <f aca="false">H314*K314+H286*(1-K314)</f>
        <v>79333.3333333333</v>
      </c>
      <c r="M314" s="81" t="n">
        <f aca="false">L314*'W Programs'!$M$6*'W Programs'!$O$6</f>
        <v>0</v>
      </c>
      <c r="N314" s="81" t="n">
        <f aca="false">I314*'W Assumptions'!$D$55+I300*(1-'W Assumptions'!$D$55)</f>
        <v>31733.3333333333</v>
      </c>
      <c r="O314" s="81" t="n">
        <f aca="false">H314-I314-J314</f>
        <v>47600</v>
      </c>
    </row>
    <row r="315" customFormat="false" ht="21" hidden="false" customHeight="true" outlineLevel="0" collapsed="false">
      <c r="C315" s="144" t="n">
        <f aca="false">46935</f>
        <v>46935</v>
      </c>
      <c r="D315" s="81" t="n">
        <f aca="false">2</f>
        <v>2</v>
      </c>
      <c r="E315" s="81" t="str">
        <f aca="false">'W Programs'!C7</f>
        <v>TLI</v>
      </c>
      <c r="F315" s="81" t="str">
        <f aca="false">'W Programs'!D7</f>
        <v>Activations</v>
      </c>
      <c r="G315" s="145" t="n">
        <f aca="false">INDEX('W Programs'!$F$7:$H$7,1,D315)*INDEX('W Assumptions'!$D$7:$F$7,1,D315)*'W Assumptions'!E105/SUM('W Assumptions'!E$95:E$106)</f>
        <v>0.6</v>
      </c>
      <c r="H315" s="81" t="n">
        <f aca="false">G315*INDEX('W Programs'!$I$7:$K$7,1,D315)*INDEX('W Assumptions'!$D$12:$F$12,1,D315)</f>
        <v>45000</v>
      </c>
      <c r="I315" s="81" t="n">
        <f aca="false">H315*CHOOSE(D315,'W Programs'!L7,'W Programs'!Q7,'W Programs'!R7)*INDEX('W Assumptions'!$D$17:$F$17,1,D315)</f>
        <v>23400</v>
      </c>
      <c r="J315" s="81" t="n">
        <f aca="false">H315*'W Programs'!$M$7*'W Programs'!$O$7</f>
        <v>0</v>
      </c>
      <c r="K315" s="149" t="n">
        <f aca="false">'W Programs'!$N$7</f>
        <v>0.3</v>
      </c>
      <c r="L315" s="81" t="n">
        <f aca="false">H315*K315+H287*(1-K315)</f>
        <v>45000</v>
      </c>
      <c r="M315" s="81" t="n">
        <f aca="false">L315*'W Programs'!$M$7*'W Programs'!$O$7</f>
        <v>0</v>
      </c>
      <c r="N315" s="81" t="n">
        <f aca="false">I315*'W Assumptions'!$D$55+I301*(1-'W Assumptions'!$D$55)</f>
        <v>23400</v>
      </c>
      <c r="O315" s="81" t="n">
        <f aca="false">H315-I315-J315</f>
        <v>21600</v>
      </c>
    </row>
    <row r="316" customFormat="false" ht="21" hidden="false" customHeight="true" outlineLevel="0" collapsed="false">
      <c r="C316" s="144" t="n">
        <f aca="false">46935</f>
        <v>46935</v>
      </c>
      <c r="D316" s="81" t="n">
        <f aca="false">2</f>
        <v>2</v>
      </c>
      <c r="E316" s="81" t="str">
        <f aca="false">'W Programs'!C8</f>
        <v>TLI</v>
      </c>
      <c r="F316" s="81" t="str">
        <f aca="false">'W Programs'!D8</f>
        <v>Workshops</v>
      </c>
      <c r="G316" s="145" t="n">
        <f aca="false">INDEX('W Programs'!$F$8:$H$8,1,D316)*INDEX('W Assumptions'!$D$7:$F$7,1,D316)*'W Assumptions'!E105/SUM('W Assumptions'!E$95:E$106)</f>
        <v>5.33333333333333</v>
      </c>
      <c r="H316" s="81" t="n">
        <f aca="false">G316*INDEX('W Programs'!$I$8:$K$8,1,D316)*INDEX('W Assumptions'!$D$12:$F$12,1,D316)</f>
        <v>26666.6666666667</v>
      </c>
      <c r="I316" s="81" t="n">
        <f aca="false">H316*CHOOSE(D316,'W Programs'!L8,'W Programs'!Q8,'W Programs'!R8)*INDEX('W Assumptions'!$D$17:$F$17,1,D316)</f>
        <v>11200</v>
      </c>
      <c r="J316" s="81" t="n">
        <f aca="false">H316*'W Programs'!$M$8*'W Programs'!$O$8</f>
        <v>0</v>
      </c>
      <c r="K316" s="149" t="n">
        <f aca="false">'W Programs'!$N$8</f>
        <v>0.7</v>
      </c>
      <c r="L316" s="81" t="n">
        <f aca="false">H316*K316+H288*(1-K316)</f>
        <v>26666.6666666667</v>
      </c>
      <c r="M316" s="81" t="n">
        <f aca="false">L316*'W Programs'!$M$8*'W Programs'!$O$8</f>
        <v>0</v>
      </c>
      <c r="N316" s="81" t="n">
        <f aca="false">I316*'W Assumptions'!$D$55+I302*(1-'W Assumptions'!$D$55)</f>
        <v>11200</v>
      </c>
      <c r="O316" s="81" t="n">
        <f aca="false">H316-I316-J316</f>
        <v>15466.6666666667</v>
      </c>
    </row>
    <row r="317" customFormat="false" ht="21" hidden="false" customHeight="true" outlineLevel="0" collapsed="false">
      <c r="C317" s="144" t="n">
        <f aca="false">46935</f>
        <v>46935</v>
      </c>
      <c r="D317" s="81" t="n">
        <f aca="false">2</f>
        <v>2</v>
      </c>
      <c r="E317" s="81" t="str">
        <f aca="false">'W Programs'!C9</f>
        <v>TLI</v>
      </c>
      <c r="F317" s="81" t="str">
        <f aca="false">'W Programs'!D9</f>
        <v>Installations</v>
      </c>
      <c r="G317" s="145" t="n">
        <f aca="false">INDEX('W Programs'!$F$9:$H$9,1,D317)*INDEX('W Assumptions'!$D$7:$F$7,1,D317)*'W Assumptions'!E105/SUM('W Assumptions'!E$95:E$106)</f>
        <v>0.1</v>
      </c>
      <c r="H317" s="81" t="n">
        <f aca="false">G317*INDEX('W Programs'!$I$9:$K$9,1,D317)*INDEX('W Assumptions'!$D$12:$F$12,1,D317)</f>
        <v>30000</v>
      </c>
      <c r="I317" s="81" t="n">
        <f aca="false">H317*CHOOSE(D317,'W Programs'!L9,'W Programs'!Q9,'W Programs'!R9)*INDEX('W Assumptions'!$D$17:$F$17,1,D317)</f>
        <v>18000</v>
      </c>
      <c r="J317" s="81" t="n">
        <f aca="false">H317*'W Programs'!$M$9*'W Programs'!$O$9</f>
        <v>0</v>
      </c>
      <c r="K317" s="149" t="n">
        <f aca="false">'W Programs'!$N$9</f>
        <v>0.3</v>
      </c>
      <c r="L317" s="81" t="n">
        <f aca="false">H317*K317+H289*(1-K317)</f>
        <v>30000</v>
      </c>
      <c r="M317" s="81" t="n">
        <f aca="false">L317*'W Programs'!$M$9*'W Programs'!$O$9</f>
        <v>0</v>
      </c>
      <c r="N317" s="81" t="n">
        <f aca="false">I317*'W Assumptions'!$D$55+I303*(1-'W Assumptions'!$D$55)</f>
        <v>18000</v>
      </c>
      <c r="O317" s="81" t="n">
        <f aca="false">H317-I317-J317</f>
        <v>12000</v>
      </c>
    </row>
    <row r="318" customFormat="false" ht="21" hidden="false" customHeight="true" outlineLevel="0" collapsed="false">
      <c r="C318" s="144" t="n">
        <f aca="false">46935</f>
        <v>46935</v>
      </c>
      <c r="D318" s="81" t="n">
        <f aca="false">2</f>
        <v>2</v>
      </c>
      <c r="E318" s="81" t="str">
        <f aca="false">'W Programs'!C10</f>
        <v>TLI</v>
      </c>
      <c r="F318" s="81" t="str">
        <f aca="false">'W Programs'!D10</f>
        <v>Digital</v>
      </c>
      <c r="G318" s="145" t="n">
        <f aca="false">INDEX('W Programs'!$F$10:$H$10,1,D318)*INDEX('W Assumptions'!$D$7:$F$7,1,D318)*'W Assumptions'!E105/SUM('W Assumptions'!E$95:E$106)</f>
        <v>50</v>
      </c>
      <c r="H318" s="81" t="n">
        <f aca="false">G318*INDEX('W Programs'!$I$10:$K$10,1,D318)*INDEX('W Assumptions'!$D$12:$F$12,1,D318)</f>
        <v>17500</v>
      </c>
      <c r="I318" s="81" t="n">
        <f aca="false">H318*CHOOSE(D318,'W Programs'!L10,'W Programs'!Q10,'W Programs'!R10)*INDEX('W Assumptions'!$D$17:$F$17,1,D318)</f>
        <v>3150</v>
      </c>
      <c r="J318" s="81" t="n">
        <f aca="false">H318*'W Programs'!$M$10*'W Programs'!$O$10</f>
        <v>0</v>
      </c>
      <c r="K318" s="149" t="n">
        <f aca="false">'W Programs'!$N$10</f>
        <v>1</v>
      </c>
      <c r="L318" s="81" t="n">
        <f aca="false">H318*K318+H290*(1-K318)</f>
        <v>17500</v>
      </c>
      <c r="M318" s="81" t="n">
        <f aca="false">L318*'W Programs'!$M$10*'W Programs'!$O$10</f>
        <v>0</v>
      </c>
      <c r="N318" s="81" t="n">
        <f aca="false">I318*'W Assumptions'!$D$55+I304*(1-'W Assumptions'!$D$55)</f>
        <v>3150</v>
      </c>
      <c r="O318" s="81" t="n">
        <f aca="false">H318-I318-J318</f>
        <v>14350</v>
      </c>
    </row>
    <row r="319" customFormat="false" ht="21" hidden="false" customHeight="true" outlineLevel="0" collapsed="false">
      <c r="C319" s="144" t="n">
        <f aca="false">46935</f>
        <v>46935</v>
      </c>
      <c r="D319" s="81" t="n">
        <f aca="false">2</f>
        <v>2</v>
      </c>
      <c r="E319" s="81" t="str">
        <f aca="false">'W Programs'!C11</f>
        <v>TLI</v>
      </c>
      <c r="F319" s="81" t="str">
        <f aca="false">'W Programs'!D11</f>
        <v>Retail</v>
      </c>
      <c r="G319" s="145" t="n">
        <f aca="false">INDEX('W Programs'!$F$11:$H$11,1,D319)*INDEX('W Assumptions'!$D$7:$F$7,1,D319)*'W Assumptions'!E105/SUM('W Assumptions'!E$95:E$106)</f>
        <v>133.333333333333</v>
      </c>
      <c r="H319" s="81" t="n">
        <f aca="false">G319*INDEX('W Programs'!$I$11:$K$11,1,D319)*INDEX('W Assumptions'!$D$12:$F$12,1,D319)</f>
        <v>33333.3333333333</v>
      </c>
      <c r="I319" s="81" t="n">
        <f aca="false">H319*CHOOSE(D319,'W Programs'!L11,'W Programs'!Q11,'W Programs'!R11)*INDEX('W Assumptions'!$D$17:$F$17,1,D319)</f>
        <v>16666.6666666667</v>
      </c>
      <c r="J319" s="81" t="n">
        <f aca="false">H319*'W Programs'!$M$11*'W Programs'!$O$11</f>
        <v>0</v>
      </c>
      <c r="K319" s="149" t="n">
        <f aca="false">'W Programs'!$N$11</f>
        <v>1</v>
      </c>
      <c r="L319" s="81" t="n">
        <f aca="false">H319*K319+H291*(1-K319)</f>
        <v>33333.3333333333</v>
      </c>
      <c r="M319" s="81" t="n">
        <f aca="false">L319*'W Programs'!$M$11*'W Programs'!$O$11</f>
        <v>0</v>
      </c>
      <c r="N319" s="81" t="n">
        <f aca="false">I319*'W Assumptions'!$D$55+I305*(1-'W Assumptions'!$D$55)</f>
        <v>16666.6666666667</v>
      </c>
      <c r="O319" s="81" t="n">
        <f aca="false">H319-I319-J319</f>
        <v>16666.6666666667</v>
      </c>
    </row>
    <row r="320" customFormat="false" ht="21" hidden="false" customHeight="true" outlineLevel="0" collapsed="false">
      <c r="C320" s="144" t="n">
        <f aca="false">46935</f>
        <v>46935</v>
      </c>
      <c r="D320" s="81" t="n">
        <f aca="false">2</f>
        <v>2</v>
      </c>
      <c r="E320" s="81" t="str">
        <f aca="false">'W Programs'!C12</f>
        <v>TLI</v>
      </c>
      <c r="F320" s="81" t="str">
        <f aca="false">'W Programs'!D12</f>
        <v>Licensing</v>
      </c>
      <c r="G320" s="145" t="n">
        <f aca="false">INDEX('W Programs'!$F$12:$H$12,1,D320)*INDEX('W Assumptions'!$D$7:$F$7,1,D320)*'W Assumptions'!E105/SUM('W Assumptions'!E$95:E$106)</f>
        <v>0.0333333333333333</v>
      </c>
      <c r="H320" s="81" t="n">
        <f aca="false">G320*INDEX('W Programs'!$I$12:$K$12,1,D320)*INDEX('W Assumptions'!$D$12:$F$12,1,D320)</f>
        <v>10000</v>
      </c>
      <c r="I320" s="81" t="n">
        <f aca="false">H320*CHOOSE(D320,'W Programs'!L12,'W Programs'!Q12,'W Programs'!R12)*INDEX('W Assumptions'!$D$17:$F$17,1,D320)</f>
        <v>1200</v>
      </c>
      <c r="J320" s="81" t="n">
        <f aca="false">H320*'W Programs'!$M$12*'W Programs'!$O$12</f>
        <v>0</v>
      </c>
      <c r="K320" s="149" t="n">
        <f aca="false">'W Programs'!$N$12</f>
        <v>0.3</v>
      </c>
      <c r="L320" s="81" t="n">
        <f aca="false">H320*K320+H292*(1-K320)</f>
        <v>10000</v>
      </c>
      <c r="M320" s="81" t="n">
        <f aca="false">L320*'W Programs'!$M$12*'W Programs'!$O$12</f>
        <v>0</v>
      </c>
      <c r="N320" s="81" t="n">
        <f aca="false">I320*'W Assumptions'!$D$55+I306*(1-'W Assumptions'!$D$55)</f>
        <v>1200</v>
      </c>
      <c r="O320" s="81" t="n">
        <f aca="false">H320-I320-J320</f>
        <v>8800</v>
      </c>
    </row>
    <row r="321" customFormat="false" ht="21" hidden="false" customHeight="true" outlineLevel="0" collapsed="false">
      <c r="C321" s="144" t="n">
        <f aca="false">46935</f>
        <v>46935</v>
      </c>
      <c r="D321" s="81" t="n">
        <f aca="false">2</f>
        <v>2</v>
      </c>
      <c r="E321" s="81" t="str">
        <f aca="false">'W Programs'!C13</f>
        <v>WOO IP</v>
      </c>
      <c r="F321" s="81" t="str">
        <f aca="false">'W Programs'!D13</f>
        <v>Schools</v>
      </c>
      <c r="G321" s="145" t="n">
        <f aca="false">INDEX('W Programs'!$F$13:$H$13,1,D321)*INDEX('W Assumptions'!$D$7:$F$7,1,D321)*'W Assumptions'!E105/SUM('W Assumptions'!E$95:E$106)</f>
        <v>0.7</v>
      </c>
      <c r="H321" s="81" t="n">
        <f aca="false">G321*INDEX('W Programs'!$I$13:$K$13,1,D321)*INDEX('W Assumptions'!$D$12:$F$12,1,D321)</f>
        <v>119000</v>
      </c>
      <c r="I321" s="81" t="n">
        <f aca="false">H321*CHOOSE(D321,'W Programs'!L13,'W Programs'!Q13,'W Programs'!R13)*INDEX('W Assumptions'!$D$17:$F$17,1,D321)</f>
        <v>47600</v>
      </c>
      <c r="J321" s="81" t="n">
        <f aca="false">H321*'W Programs'!$M$13*'W Programs'!$O$13</f>
        <v>0</v>
      </c>
      <c r="K321" s="149" t="n">
        <f aca="false">'W Programs'!$N$13</f>
        <v>0.3</v>
      </c>
      <c r="L321" s="81" t="n">
        <f aca="false">H321*K321+H293*(1-K321)</f>
        <v>119000</v>
      </c>
      <c r="M321" s="81" t="n">
        <f aca="false">L321*'W Programs'!$M$13*'W Programs'!$O$13</f>
        <v>0</v>
      </c>
      <c r="N321" s="81" t="n">
        <f aca="false">I321*'W Assumptions'!$D$55+I307*(1-'W Assumptions'!$D$55)</f>
        <v>47600</v>
      </c>
      <c r="O321" s="81" t="n">
        <f aca="false">H321-I321-J321</f>
        <v>71400</v>
      </c>
    </row>
    <row r="322" customFormat="false" ht="21" hidden="false" customHeight="true" outlineLevel="0" collapsed="false">
      <c r="C322" s="144" t="n">
        <f aca="false">46935</f>
        <v>46935</v>
      </c>
      <c r="D322" s="81" t="n">
        <f aca="false">2</f>
        <v>2</v>
      </c>
      <c r="E322" s="81" t="str">
        <f aca="false">'W Programs'!C14</f>
        <v>WOO IP</v>
      </c>
      <c r="F322" s="81" t="str">
        <f aca="false">'W Programs'!D14</f>
        <v>Activations</v>
      </c>
      <c r="G322" s="145" t="n">
        <f aca="false">INDEX('W Programs'!$F$14:$H$14,1,D322)*INDEX('W Assumptions'!$D$7:$F$7,1,D322)*'W Assumptions'!E105/SUM('W Assumptions'!E$95:E$106)</f>
        <v>0.9</v>
      </c>
      <c r="H322" s="81" t="n">
        <f aca="false">G322*INDEX('W Programs'!$I$14:$K$14,1,D322)*INDEX('W Assumptions'!$D$12:$F$12,1,D322)</f>
        <v>67500</v>
      </c>
      <c r="I322" s="81" t="n">
        <f aca="false">H322*CHOOSE(D322,'W Programs'!L14,'W Programs'!Q14,'W Programs'!R14)*INDEX('W Assumptions'!$D$17:$F$17,1,D322)</f>
        <v>35100</v>
      </c>
      <c r="J322" s="81" t="n">
        <f aca="false">H322*'W Programs'!$M$14*'W Programs'!$O$14</f>
        <v>0</v>
      </c>
      <c r="K322" s="149" t="n">
        <f aca="false">'W Programs'!$N$14</f>
        <v>0.3</v>
      </c>
      <c r="L322" s="81" t="n">
        <f aca="false">H322*K322+H294*(1-K322)</f>
        <v>67500</v>
      </c>
      <c r="M322" s="81" t="n">
        <f aca="false">L322*'W Programs'!$M$14*'W Programs'!$O$14</f>
        <v>0</v>
      </c>
      <c r="N322" s="81" t="n">
        <f aca="false">I322*'W Assumptions'!$D$55+I308*(1-'W Assumptions'!$D$55)</f>
        <v>35100</v>
      </c>
      <c r="O322" s="81" t="n">
        <f aca="false">H322-I322-J322</f>
        <v>32400</v>
      </c>
    </row>
    <row r="323" customFormat="false" ht="21" hidden="false" customHeight="true" outlineLevel="0" collapsed="false">
      <c r="C323" s="144" t="n">
        <f aca="false">46935</f>
        <v>46935</v>
      </c>
      <c r="D323" s="81" t="n">
        <f aca="false">2</f>
        <v>2</v>
      </c>
      <c r="E323" s="81" t="str">
        <f aca="false">'W Programs'!C15</f>
        <v>WOO IP</v>
      </c>
      <c r="F323" s="81" t="str">
        <f aca="false">'W Programs'!D15</f>
        <v>Workshops</v>
      </c>
      <c r="G323" s="145" t="n">
        <f aca="false">INDEX('W Programs'!$F$15:$H$15,1,D323)*INDEX('W Assumptions'!$D$7:$F$7,1,D323)*'W Assumptions'!E105/SUM('W Assumptions'!E$95:E$106)</f>
        <v>8</v>
      </c>
      <c r="H323" s="81" t="n">
        <f aca="false">G323*INDEX('W Programs'!$I$15:$K$15,1,D323)*INDEX('W Assumptions'!$D$12:$F$12,1,D323)</f>
        <v>40000</v>
      </c>
      <c r="I323" s="81" t="n">
        <f aca="false">H323*CHOOSE(D323,'W Programs'!L15,'W Programs'!Q15,'W Programs'!R15)*INDEX('W Assumptions'!$D$17:$F$17,1,D323)</f>
        <v>16800</v>
      </c>
      <c r="J323" s="81" t="n">
        <f aca="false">H323*'W Programs'!$M$15*'W Programs'!$O$15</f>
        <v>0</v>
      </c>
      <c r="K323" s="149" t="n">
        <f aca="false">'W Programs'!$N$15</f>
        <v>0.7</v>
      </c>
      <c r="L323" s="81" t="n">
        <f aca="false">H323*K323+H295*(1-K323)</f>
        <v>40000</v>
      </c>
      <c r="M323" s="81" t="n">
        <f aca="false">L323*'W Programs'!$M$15*'W Programs'!$O$15</f>
        <v>0</v>
      </c>
      <c r="N323" s="81" t="n">
        <f aca="false">I323*'W Assumptions'!$D$55+I309*(1-'W Assumptions'!$D$55)</f>
        <v>16800</v>
      </c>
      <c r="O323" s="81" t="n">
        <f aca="false">H323-I323-J323</f>
        <v>23200</v>
      </c>
    </row>
    <row r="324" customFormat="false" ht="21" hidden="false" customHeight="true" outlineLevel="0" collapsed="false">
      <c r="C324" s="144" t="n">
        <f aca="false">46935</f>
        <v>46935</v>
      </c>
      <c r="D324" s="81" t="n">
        <f aca="false">2</f>
        <v>2</v>
      </c>
      <c r="E324" s="81" t="str">
        <f aca="false">'W Programs'!C16</f>
        <v>WOO IP</v>
      </c>
      <c r="F324" s="81" t="str">
        <f aca="false">'W Programs'!D16</f>
        <v>Installations</v>
      </c>
      <c r="G324" s="145" t="n">
        <f aca="false">INDEX('W Programs'!$F$16:$H$16,1,D324)*INDEX('W Assumptions'!$D$7:$F$7,1,D324)*'W Assumptions'!E105/SUM('W Assumptions'!E$95:E$106)</f>
        <v>0.15</v>
      </c>
      <c r="H324" s="81" t="n">
        <f aca="false">G324*INDEX('W Programs'!$I$16:$K$16,1,D324)*INDEX('W Assumptions'!$D$12:$F$12,1,D324)</f>
        <v>45000</v>
      </c>
      <c r="I324" s="81" t="n">
        <f aca="false">H324*CHOOSE(D324,'W Programs'!L16,'W Programs'!Q16,'W Programs'!R16)*INDEX('W Assumptions'!$D$17:$F$17,1,D324)</f>
        <v>27000</v>
      </c>
      <c r="J324" s="81" t="n">
        <f aca="false">H324*'W Programs'!$M$16*'W Programs'!$O$16</f>
        <v>0</v>
      </c>
      <c r="K324" s="149" t="n">
        <f aca="false">'W Programs'!$N$16</f>
        <v>0.3</v>
      </c>
      <c r="L324" s="81" t="n">
        <f aca="false">H324*K324+H296*(1-K324)</f>
        <v>45000</v>
      </c>
      <c r="M324" s="81" t="n">
        <f aca="false">L324*'W Programs'!$M$16*'W Programs'!$O$16</f>
        <v>0</v>
      </c>
      <c r="N324" s="81" t="n">
        <f aca="false">I324*'W Assumptions'!$D$55+I310*(1-'W Assumptions'!$D$55)</f>
        <v>27000</v>
      </c>
      <c r="O324" s="81" t="n">
        <f aca="false">H324-I324-J324</f>
        <v>18000</v>
      </c>
    </row>
    <row r="325" customFormat="false" ht="21" hidden="false" customHeight="true" outlineLevel="0" collapsed="false">
      <c r="C325" s="144" t="n">
        <f aca="false">46935</f>
        <v>46935</v>
      </c>
      <c r="D325" s="81" t="n">
        <f aca="false">2</f>
        <v>2</v>
      </c>
      <c r="E325" s="81" t="str">
        <f aca="false">'W Programs'!C17</f>
        <v>WOO IP</v>
      </c>
      <c r="F325" s="81" t="str">
        <f aca="false">'W Programs'!D17</f>
        <v>Digital</v>
      </c>
      <c r="G325" s="145" t="n">
        <f aca="false">INDEX('W Programs'!$F$17:$H$17,1,D325)*INDEX('W Assumptions'!$D$7:$F$7,1,D325)*'W Assumptions'!E105/SUM('W Assumptions'!E$95:E$106)</f>
        <v>75</v>
      </c>
      <c r="H325" s="81" t="n">
        <f aca="false">G325*INDEX('W Programs'!$I$17:$K$17,1,D325)*INDEX('W Assumptions'!$D$12:$F$12,1,D325)</f>
        <v>26250</v>
      </c>
      <c r="I325" s="81" t="n">
        <f aca="false">H325*CHOOSE(D325,'W Programs'!L17,'W Programs'!Q17,'W Programs'!R17)*INDEX('W Assumptions'!$D$17:$F$17,1,D325)</f>
        <v>4725</v>
      </c>
      <c r="J325" s="81" t="n">
        <f aca="false">H325*'W Programs'!$M$17*'W Programs'!$O$17</f>
        <v>0</v>
      </c>
      <c r="K325" s="149" t="n">
        <f aca="false">'W Programs'!$N$17</f>
        <v>1</v>
      </c>
      <c r="L325" s="81" t="n">
        <f aca="false">H325*K325+H297*(1-K325)</f>
        <v>26250</v>
      </c>
      <c r="M325" s="81" t="n">
        <f aca="false">L325*'W Programs'!$M$17*'W Programs'!$O$17</f>
        <v>0</v>
      </c>
      <c r="N325" s="81" t="n">
        <f aca="false">I325*'W Assumptions'!$D$55+I311*(1-'W Assumptions'!$D$55)</f>
        <v>4725</v>
      </c>
      <c r="O325" s="81" t="n">
        <f aca="false">H325-I325-J325</f>
        <v>21525</v>
      </c>
    </row>
    <row r="326" customFormat="false" ht="21" hidden="false" customHeight="true" outlineLevel="0" collapsed="false">
      <c r="C326" s="144" t="n">
        <f aca="false">46935</f>
        <v>46935</v>
      </c>
      <c r="D326" s="81" t="n">
        <f aca="false">2</f>
        <v>2</v>
      </c>
      <c r="E326" s="81" t="str">
        <f aca="false">'W Programs'!C18</f>
        <v>WOO IP</v>
      </c>
      <c r="F326" s="81" t="str">
        <f aca="false">'W Programs'!D18</f>
        <v>Retail</v>
      </c>
      <c r="G326" s="145" t="n">
        <f aca="false">INDEX('W Programs'!$F$18:$H$18,1,D326)*INDEX('W Assumptions'!$D$7:$F$7,1,D326)*'W Assumptions'!E105/SUM('W Assumptions'!E$95:E$106)</f>
        <v>200</v>
      </c>
      <c r="H326" s="81" t="n">
        <f aca="false">G326*INDEX('W Programs'!$I$18:$K$18,1,D326)*INDEX('W Assumptions'!$D$12:$F$12,1,D326)</f>
        <v>50000</v>
      </c>
      <c r="I326" s="81" t="n">
        <f aca="false">H326*CHOOSE(D326,'W Programs'!L18,'W Programs'!Q18,'W Programs'!R18)*INDEX('W Assumptions'!$D$17:$F$17,1,D326)</f>
        <v>25000</v>
      </c>
      <c r="J326" s="81" t="n">
        <f aca="false">H326*'W Programs'!$M$18*'W Programs'!$O$18</f>
        <v>0</v>
      </c>
      <c r="K326" s="149" t="n">
        <f aca="false">'W Programs'!$N$18</f>
        <v>1</v>
      </c>
      <c r="L326" s="81" t="n">
        <f aca="false">H326*K326+H298*(1-K326)</f>
        <v>50000</v>
      </c>
      <c r="M326" s="81" t="n">
        <f aca="false">L326*'W Programs'!$M$18*'W Programs'!$O$18</f>
        <v>0</v>
      </c>
      <c r="N326" s="81" t="n">
        <f aca="false">I326*'W Assumptions'!$D$55+I312*(1-'W Assumptions'!$D$55)</f>
        <v>25000</v>
      </c>
      <c r="O326" s="81" t="n">
        <f aca="false">H326-I326-J326</f>
        <v>25000</v>
      </c>
    </row>
    <row r="327" customFormat="false" ht="21" hidden="false" customHeight="true" outlineLevel="0" collapsed="false">
      <c r="C327" s="144" t="n">
        <f aca="false">46935</f>
        <v>46935</v>
      </c>
      <c r="D327" s="81" t="n">
        <f aca="false">2</f>
        <v>2</v>
      </c>
      <c r="E327" s="81" t="str">
        <f aca="false">'W Programs'!C19</f>
        <v>WOO IP</v>
      </c>
      <c r="F327" s="81" t="str">
        <f aca="false">'W Programs'!D19</f>
        <v>Licensing</v>
      </c>
      <c r="G327" s="145" t="n">
        <f aca="false">INDEX('W Programs'!$F$19:$H$19,1,D327)*INDEX('W Assumptions'!$D$7:$F$7,1,D327)*'W Assumptions'!E105/SUM('W Assumptions'!E$95:E$106)</f>
        <v>0.05</v>
      </c>
      <c r="H327" s="81" t="n">
        <f aca="false">G327*INDEX('W Programs'!$I$19:$K$19,1,D327)*INDEX('W Assumptions'!$D$12:$F$12,1,D327)</f>
        <v>15000</v>
      </c>
      <c r="I327" s="81" t="n">
        <f aca="false">H327*CHOOSE(D327,'W Programs'!L19,'W Programs'!Q19,'W Programs'!R19)*INDEX('W Assumptions'!$D$17:$F$17,1,D327)</f>
        <v>1800</v>
      </c>
      <c r="J327" s="81" t="n">
        <f aca="false">H327*'W Programs'!$M$19*'W Programs'!$O$19</f>
        <v>0</v>
      </c>
      <c r="K327" s="149" t="n">
        <f aca="false">'W Programs'!$N$19</f>
        <v>0.3</v>
      </c>
      <c r="L327" s="81" t="n">
        <f aca="false">H327*K327+H299*(1-K327)</f>
        <v>15000</v>
      </c>
      <c r="M327" s="81" t="n">
        <f aca="false">L327*'W Programs'!$M$19*'W Programs'!$O$19</f>
        <v>0</v>
      </c>
      <c r="N327" s="81" t="n">
        <f aca="false">I327*'W Assumptions'!$D$55+I313*(1-'W Assumptions'!$D$55)</f>
        <v>1800</v>
      </c>
      <c r="O327" s="81" t="n">
        <f aca="false">H327-I327-J327</f>
        <v>13200</v>
      </c>
    </row>
    <row r="328" customFormat="false" ht="21" hidden="false" customHeight="true" outlineLevel="0" collapsed="false">
      <c r="C328" s="144" t="n">
        <f aca="false">46966</f>
        <v>46966</v>
      </c>
      <c r="D328" s="81" t="n">
        <f aca="false">2</f>
        <v>2</v>
      </c>
      <c r="E328" s="81" t="str">
        <f aca="false">'W Programs'!C6</f>
        <v>TLI</v>
      </c>
      <c r="F328" s="81" t="str">
        <f aca="false">'W Programs'!D6</f>
        <v>Schools</v>
      </c>
      <c r="G328" s="145" t="n">
        <f aca="false">INDEX('W Programs'!$F$6:$H$6,1,D328)*INDEX('W Assumptions'!$D$7:$F$7,1,D328)*'W Assumptions'!E106/SUM('W Assumptions'!E$95:E$106)</f>
        <v>0.466666666666667</v>
      </c>
      <c r="H328" s="81" t="n">
        <f aca="false">G328*INDEX('W Programs'!$I$6:$K$6,1,D328)*INDEX('W Assumptions'!$D$12:$F$12,1,D328)</f>
        <v>79333.3333333333</v>
      </c>
      <c r="I328" s="81" t="n">
        <f aca="false">H328*CHOOSE(D328,'W Programs'!L6,'W Programs'!Q6,'W Programs'!R6)*INDEX('W Assumptions'!$D$17:$F$17,1,D328)</f>
        <v>31733.3333333333</v>
      </c>
      <c r="J328" s="81" t="n">
        <f aca="false">H328*'W Programs'!$M$6*'W Programs'!$O$6</f>
        <v>0</v>
      </c>
      <c r="K328" s="149" t="n">
        <f aca="false">'W Programs'!$N$6</f>
        <v>0.3</v>
      </c>
      <c r="L328" s="81" t="n">
        <f aca="false">H328*K328+H300*(1-K328)</f>
        <v>79333.3333333333</v>
      </c>
      <c r="M328" s="81" t="n">
        <f aca="false">L328*'W Programs'!$M$6*'W Programs'!$O$6</f>
        <v>0</v>
      </c>
      <c r="N328" s="81" t="n">
        <f aca="false">I328*'W Assumptions'!$D$55+I314*(1-'W Assumptions'!$D$55)</f>
        <v>31733.3333333333</v>
      </c>
      <c r="O328" s="81" t="n">
        <f aca="false">H328-I328-J328</f>
        <v>47600</v>
      </c>
    </row>
    <row r="329" customFormat="false" ht="21" hidden="false" customHeight="true" outlineLevel="0" collapsed="false">
      <c r="C329" s="144" t="n">
        <f aca="false">46966</f>
        <v>46966</v>
      </c>
      <c r="D329" s="81" t="n">
        <f aca="false">2</f>
        <v>2</v>
      </c>
      <c r="E329" s="81" t="str">
        <f aca="false">'W Programs'!C7</f>
        <v>TLI</v>
      </c>
      <c r="F329" s="81" t="str">
        <f aca="false">'W Programs'!D7</f>
        <v>Activations</v>
      </c>
      <c r="G329" s="145" t="n">
        <f aca="false">INDEX('W Programs'!$F$7:$H$7,1,D329)*INDEX('W Assumptions'!$D$7:$F$7,1,D329)*'W Assumptions'!E106/SUM('W Assumptions'!E$95:E$106)</f>
        <v>0.6</v>
      </c>
      <c r="H329" s="81" t="n">
        <f aca="false">G329*INDEX('W Programs'!$I$7:$K$7,1,D329)*INDEX('W Assumptions'!$D$12:$F$12,1,D329)</f>
        <v>45000</v>
      </c>
      <c r="I329" s="81" t="n">
        <f aca="false">H329*CHOOSE(D329,'W Programs'!L7,'W Programs'!Q7,'W Programs'!R7)*INDEX('W Assumptions'!$D$17:$F$17,1,D329)</f>
        <v>23400</v>
      </c>
      <c r="J329" s="81" t="n">
        <f aca="false">H329*'W Programs'!$M$7*'W Programs'!$O$7</f>
        <v>0</v>
      </c>
      <c r="K329" s="149" t="n">
        <f aca="false">'W Programs'!$N$7</f>
        <v>0.3</v>
      </c>
      <c r="L329" s="81" t="n">
        <f aca="false">H329*K329+H301*(1-K329)</f>
        <v>45000</v>
      </c>
      <c r="M329" s="81" t="n">
        <f aca="false">L329*'W Programs'!$M$7*'W Programs'!$O$7</f>
        <v>0</v>
      </c>
      <c r="N329" s="81" t="n">
        <f aca="false">I329*'W Assumptions'!$D$55+I315*(1-'W Assumptions'!$D$55)</f>
        <v>23400</v>
      </c>
      <c r="O329" s="81" t="n">
        <f aca="false">H329-I329-J329</f>
        <v>21600</v>
      </c>
    </row>
    <row r="330" customFormat="false" ht="21" hidden="false" customHeight="true" outlineLevel="0" collapsed="false">
      <c r="C330" s="144" t="n">
        <f aca="false">46966</f>
        <v>46966</v>
      </c>
      <c r="D330" s="81" t="n">
        <f aca="false">2</f>
        <v>2</v>
      </c>
      <c r="E330" s="81" t="str">
        <f aca="false">'W Programs'!C8</f>
        <v>TLI</v>
      </c>
      <c r="F330" s="81" t="str">
        <f aca="false">'W Programs'!D8</f>
        <v>Workshops</v>
      </c>
      <c r="G330" s="145" t="n">
        <f aca="false">INDEX('W Programs'!$F$8:$H$8,1,D330)*INDEX('W Assumptions'!$D$7:$F$7,1,D330)*'W Assumptions'!E106/SUM('W Assumptions'!E$95:E$106)</f>
        <v>5.33333333333333</v>
      </c>
      <c r="H330" s="81" t="n">
        <f aca="false">G330*INDEX('W Programs'!$I$8:$K$8,1,D330)*INDEX('W Assumptions'!$D$12:$F$12,1,D330)</f>
        <v>26666.6666666667</v>
      </c>
      <c r="I330" s="81" t="n">
        <f aca="false">H330*CHOOSE(D330,'W Programs'!L8,'W Programs'!Q8,'W Programs'!R8)*INDEX('W Assumptions'!$D$17:$F$17,1,D330)</f>
        <v>11200</v>
      </c>
      <c r="J330" s="81" t="n">
        <f aca="false">H330*'W Programs'!$M$8*'W Programs'!$O$8</f>
        <v>0</v>
      </c>
      <c r="K330" s="149" t="n">
        <f aca="false">'W Programs'!$N$8</f>
        <v>0.7</v>
      </c>
      <c r="L330" s="81" t="n">
        <f aca="false">H330*K330+H302*(1-K330)</f>
        <v>26666.6666666667</v>
      </c>
      <c r="M330" s="81" t="n">
        <f aca="false">L330*'W Programs'!$M$8*'W Programs'!$O$8</f>
        <v>0</v>
      </c>
      <c r="N330" s="81" t="n">
        <f aca="false">I330*'W Assumptions'!$D$55+I316*(1-'W Assumptions'!$D$55)</f>
        <v>11200</v>
      </c>
      <c r="O330" s="81" t="n">
        <f aca="false">H330-I330-J330</f>
        <v>15466.6666666667</v>
      </c>
    </row>
    <row r="331" customFormat="false" ht="21" hidden="false" customHeight="true" outlineLevel="0" collapsed="false">
      <c r="C331" s="144" t="n">
        <f aca="false">46966</f>
        <v>46966</v>
      </c>
      <c r="D331" s="81" t="n">
        <f aca="false">2</f>
        <v>2</v>
      </c>
      <c r="E331" s="81" t="str">
        <f aca="false">'W Programs'!C9</f>
        <v>TLI</v>
      </c>
      <c r="F331" s="81" t="str">
        <f aca="false">'W Programs'!D9</f>
        <v>Installations</v>
      </c>
      <c r="G331" s="145" t="n">
        <f aca="false">INDEX('W Programs'!$F$9:$H$9,1,D331)*INDEX('W Assumptions'!$D$7:$F$7,1,D331)*'W Assumptions'!E106/SUM('W Assumptions'!E$95:E$106)</f>
        <v>0.1</v>
      </c>
      <c r="H331" s="81" t="n">
        <f aca="false">G331*INDEX('W Programs'!$I$9:$K$9,1,D331)*INDEX('W Assumptions'!$D$12:$F$12,1,D331)</f>
        <v>30000</v>
      </c>
      <c r="I331" s="81" t="n">
        <f aca="false">H331*CHOOSE(D331,'W Programs'!L9,'W Programs'!Q9,'W Programs'!R9)*INDEX('W Assumptions'!$D$17:$F$17,1,D331)</f>
        <v>18000</v>
      </c>
      <c r="J331" s="81" t="n">
        <f aca="false">H331*'W Programs'!$M$9*'W Programs'!$O$9</f>
        <v>0</v>
      </c>
      <c r="K331" s="149" t="n">
        <f aca="false">'W Programs'!$N$9</f>
        <v>0.3</v>
      </c>
      <c r="L331" s="81" t="n">
        <f aca="false">H331*K331+H303*(1-K331)</f>
        <v>30000</v>
      </c>
      <c r="M331" s="81" t="n">
        <f aca="false">L331*'W Programs'!$M$9*'W Programs'!$O$9</f>
        <v>0</v>
      </c>
      <c r="N331" s="81" t="n">
        <f aca="false">I331*'W Assumptions'!$D$55+I317*(1-'W Assumptions'!$D$55)</f>
        <v>18000</v>
      </c>
      <c r="O331" s="81" t="n">
        <f aca="false">H331-I331-J331</f>
        <v>12000</v>
      </c>
    </row>
    <row r="332" customFormat="false" ht="21" hidden="false" customHeight="true" outlineLevel="0" collapsed="false">
      <c r="C332" s="144" t="n">
        <f aca="false">46966</f>
        <v>46966</v>
      </c>
      <c r="D332" s="81" t="n">
        <f aca="false">2</f>
        <v>2</v>
      </c>
      <c r="E332" s="81" t="str">
        <f aca="false">'W Programs'!C10</f>
        <v>TLI</v>
      </c>
      <c r="F332" s="81" t="str">
        <f aca="false">'W Programs'!D10</f>
        <v>Digital</v>
      </c>
      <c r="G332" s="145" t="n">
        <f aca="false">INDEX('W Programs'!$F$10:$H$10,1,D332)*INDEX('W Assumptions'!$D$7:$F$7,1,D332)*'W Assumptions'!E106/SUM('W Assumptions'!E$95:E$106)</f>
        <v>50</v>
      </c>
      <c r="H332" s="81" t="n">
        <f aca="false">G332*INDEX('W Programs'!$I$10:$K$10,1,D332)*INDEX('W Assumptions'!$D$12:$F$12,1,D332)</f>
        <v>17500</v>
      </c>
      <c r="I332" s="81" t="n">
        <f aca="false">H332*CHOOSE(D332,'W Programs'!L10,'W Programs'!Q10,'W Programs'!R10)*INDEX('W Assumptions'!$D$17:$F$17,1,D332)</f>
        <v>3150</v>
      </c>
      <c r="J332" s="81" t="n">
        <f aca="false">H332*'W Programs'!$M$10*'W Programs'!$O$10</f>
        <v>0</v>
      </c>
      <c r="K332" s="149" t="n">
        <f aca="false">'W Programs'!$N$10</f>
        <v>1</v>
      </c>
      <c r="L332" s="81" t="n">
        <f aca="false">H332*K332+H304*(1-K332)</f>
        <v>17500</v>
      </c>
      <c r="M332" s="81" t="n">
        <f aca="false">L332*'W Programs'!$M$10*'W Programs'!$O$10</f>
        <v>0</v>
      </c>
      <c r="N332" s="81" t="n">
        <f aca="false">I332*'W Assumptions'!$D$55+I318*(1-'W Assumptions'!$D$55)</f>
        <v>3150</v>
      </c>
      <c r="O332" s="81" t="n">
        <f aca="false">H332-I332-J332</f>
        <v>14350</v>
      </c>
    </row>
    <row r="333" customFormat="false" ht="21" hidden="false" customHeight="true" outlineLevel="0" collapsed="false">
      <c r="C333" s="144" t="n">
        <f aca="false">46966</f>
        <v>46966</v>
      </c>
      <c r="D333" s="81" t="n">
        <f aca="false">2</f>
        <v>2</v>
      </c>
      <c r="E333" s="81" t="str">
        <f aca="false">'W Programs'!C11</f>
        <v>TLI</v>
      </c>
      <c r="F333" s="81" t="str">
        <f aca="false">'W Programs'!D11</f>
        <v>Retail</v>
      </c>
      <c r="G333" s="145" t="n">
        <f aca="false">INDEX('W Programs'!$F$11:$H$11,1,D333)*INDEX('W Assumptions'!$D$7:$F$7,1,D333)*'W Assumptions'!E106/SUM('W Assumptions'!E$95:E$106)</f>
        <v>133.333333333333</v>
      </c>
      <c r="H333" s="81" t="n">
        <f aca="false">G333*INDEX('W Programs'!$I$11:$K$11,1,D333)*INDEX('W Assumptions'!$D$12:$F$12,1,D333)</f>
        <v>33333.3333333333</v>
      </c>
      <c r="I333" s="81" t="n">
        <f aca="false">H333*CHOOSE(D333,'W Programs'!L11,'W Programs'!Q11,'W Programs'!R11)*INDEX('W Assumptions'!$D$17:$F$17,1,D333)</f>
        <v>16666.6666666667</v>
      </c>
      <c r="J333" s="81" t="n">
        <f aca="false">H333*'W Programs'!$M$11*'W Programs'!$O$11</f>
        <v>0</v>
      </c>
      <c r="K333" s="149" t="n">
        <f aca="false">'W Programs'!$N$11</f>
        <v>1</v>
      </c>
      <c r="L333" s="81" t="n">
        <f aca="false">H333*K333+H305*(1-K333)</f>
        <v>33333.3333333333</v>
      </c>
      <c r="M333" s="81" t="n">
        <f aca="false">L333*'W Programs'!$M$11*'W Programs'!$O$11</f>
        <v>0</v>
      </c>
      <c r="N333" s="81" t="n">
        <f aca="false">I333*'W Assumptions'!$D$55+I319*(1-'W Assumptions'!$D$55)</f>
        <v>16666.6666666667</v>
      </c>
      <c r="O333" s="81" t="n">
        <f aca="false">H333-I333-J333</f>
        <v>16666.6666666667</v>
      </c>
    </row>
    <row r="334" customFormat="false" ht="21" hidden="false" customHeight="true" outlineLevel="0" collapsed="false">
      <c r="C334" s="144" t="n">
        <f aca="false">46966</f>
        <v>46966</v>
      </c>
      <c r="D334" s="81" t="n">
        <f aca="false">2</f>
        <v>2</v>
      </c>
      <c r="E334" s="81" t="str">
        <f aca="false">'W Programs'!C12</f>
        <v>TLI</v>
      </c>
      <c r="F334" s="81" t="str">
        <f aca="false">'W Programs'!D12</f>
        <v>Licensing</v>
      </c>
      <c r="G334" s="145" t="n">
        <f aca="false">INDEX('W Programs'!$F$12:$H$12,1,D334)*INDEX('W Assumptions'!$D$7:$F$7,1,D334)*'W Assumptions'!E106/SUM('W Assumptions'!E$95:E$106)</f>
        <v>0.0333333333333333</v>
      </c>
      <c r="H334" s="81" t="n">
        <f aca="false">G334*INDEX('W Programs'!$I$12:$K$12,1,D334)*INDEX('W Assumptions'!$D$12:$F$12,1,D334)</f>
        <v>10000</v>
      </c>
      <c r="I334" s="81" t="n">
        <f aca="false">H334*CHOOSE(D334,'W Programs'!L12,'W Programs'!Q12,'W Programs'!R12)*INDEX('W Assumptions'!$D$17:$F$17,1,D334)</f>
        <v>1200</v>
      </c>
      <c r="J334" s="81" t="n">
        <f aca="false">H334*'W Programs'!$M$12*'W Programs'!$O$12</f>
        <v>0</v>
      </c>
      <c r="K334" s="149" t="n">
        <f aca="false">'W Programs'!$N$12</f>
        <v>0.3</v>
      </c>
      <c r="L334" s="81" t="n">
        <f aca="false">H334*K334+H306*(1-K334)</f>
        <v>10000</v>
      </c>
      <c r="M334" s="81" t="n">
        <f aca="false">L334*'W Programs'!$M$12*'W Programs'!$O$12</f>
        <v>0</v>
      </c>
      <c r="N334" s="81" t="n">
        <f aca="false">I334*'W Assumptions'!$D$55+I320*(1-'W Assumptions'!$D$55)</f>
        <v>1200</v>
      </c>
      <c r="O334" s="81" t="n">
        <f aca="false">H334-I334-J334</f>
        <v>8800</v>
      </c>
    </row>
    <row r="335" customFormat="false" ht="21" hidden="false" customHeight="true" outlineLevel="0" collapsed="false">
      <c r="C335" s="144" t="n">
        <f aca="false">46966</f>
        <v>46966</v>
      </c>
      <c r="D335" s="81" t="n">
        <f aca="false">2</f>
        <v>2</v>
      </c>
      <c r="E335" s="81" t="str">
        <f aca="false">'W Programs'!C13</f>
        <v>WOO IP</v>
      </c>
      <c r="F335" s="81" t="str">
        <f aca="false">'W Programs'!D13</f>
        <v>Schools</v>
      </c>
      <c r="G335" s="145" t="n">
        <f aca="false">INDEX('W Programs'!$F$13:$H$13,1,D335)*INDEX('W Assumptions'!$D$7:$F$7,1,D335)*'W Assumptions'!E106/SUM('W Assumptions'!E$95:E$106)</f>
        <v>0.7</v>
      </c>
      <c r="H335" s="81" t="n">
        <f aca="false">G335*INDEX('W Programs'!$I$13:$K$13,1,D335)*INDEX('W Assumptions'!$D$12:$F$12,1,D335)</f>
        <v>119000</v>
      </c>
      <c r="I335" s="81" t="n">
        <f aca="false">H335*CHOOSE(D335,'W Programs'!L13,'W Programs'!Q13,'W Programs'!R13)*INDEX('W Assumptions'!$D$17:$F$17,1,D335)</f>
        <v>47600</v>
      </c>
      <c r="J335" s="81" t="n">
        <f aca="false">H335*'W Programs'!$M$13*'W Programs'!$O$13</f>
        <v>0</v>
      </c>
      <c r="K335" s="149" t="n">
        <f aca="false">'W Programs'!$N$13</f>
        <v>0.3</v>
      </c>
      <c r="L335" s="81" t="n">
        <f aca="false">H335*K335+H307*(1-K335)</f>
        <v>119000</v>
      </c>
      <c r="M335" s="81" t="n">
        <f aca="false">L335*'W Programs'!$M$13*'W Programs'!$O$13</f>
        <v>0</v>
      </c>
      <c r="N335" s="81" t="n">
        <f aca="false">I335*'W Assumptions'!$D$55+I321*(1-'W Assumptions'!$D$55)</f>
        <v>47600</v>
      </c>
      <c r="O335" s="81" t="n">
        <f aca="false">H335-I335-J335</f>
        <v>71400</v>
      </c>
    </row>
    <row r="336" customFormat="false" ht="21" hidden="false" customHeight="true" outlineLevel="0" collapsed="false">
      <c r="C336" s="144" t="n">
        <f aca="false">46966</f>
        <v>46966</v>
      </c>
      <c r="D336" s="81" t="n">
        <f aca="false">2</f>
        <v>2</v>
      </c>
      <c r="E336" s="81" t="str">
        <f aca="false">'W Programs'!C14</f>
        <v>WOO IP</v>
      </c>
      <c r="F336" s="81" t="str">
        <f aca="false">'W Programs'!D14</f>
        <v>Activations</v>
      </c>
      <c r="G336" s="145" t="n">
        <f aca="false">INDEX('W Programs'!$F$14:$H$14,1,D336)*INDEX('W Assumptions'!$D$7:$F$7,1,D336)*'W Assumptions'!E106/SUM('W Assumptions'!E$95:E$106)</f>
        <v>0.9</v>
      </c>
      <c r="H336" s="81" t="n">
        <f aca="false">G336*INDEX('W Programs'!$I$14:$K$14,1,D336)*INDEX('W Assumptions'!$D$12:$F$12,1,D336)</f>
        <v>67500</v>
      </c>
      <c r="I336" s="81" t="n">
        <f aca="false">H336*CHOOSE(D336,'W Programs'!L14,'W Programs'!Q14,'W Programs'!R14)*INDEX('W Assumptions'!$D$17:$F$17,1,D336)</f>
        <v>35100</v>
      </c>
      <c r="J336" s="81" t="n">
        <f aca="false">H336*'W Programs'!$M$14*'W Programs'!$O$14</f>
        <v>0</v>
      </c>
      <c r="K336" s="149" t="n">
        <f aca="false">'W Programs'!$N$14</f>
        <v>0.3</v>
      </c>
      <c r="L336" s="81" t="n">
        <f aca="false">H336*K336+H308*(1-K336)</f>
        <v>67500</v>
      </c>
      <c r="M336" s="81" t="n">
        <f aca="false">L336*'W Programs'!$M$14*'W Programs'!$O$14</f>
        <v>0</v>
      </c>
      <c r="N336" s="81" t="n">
        <f aca="false">I336*'W Assumptions'!$D$55+I322*(1-'W Assumptions'!$D$55)</f>
        <v>35100</v>
      </c>
      <c r="O336" s="81" t="n">
        <f aca="false">H336-I336-J336</f>
        <v>32400</v>
      </c>
    </row>
    <row r="337" customFormat="false" ht="21" hidden="false" customHeight="true" outlineLevel="0" collapsed="false">
      <c r="C337" s="144" t="n">
        <f aca="false">46966</f>
        <v>46966</v>
      </c>
      <c r="D337" s="81" t="n">
        <f aca="false">2</f>
        <v>2</v>
      </c>
      <c r="E337" s="81" t="str">
        <f aca="false">'W Programs'!C15</f>
        <v>WOO IP</v>
      </c>
      <c r="F337" s="81" t="str">
        <f aca="false">'W Programs'!D15</f>
        <v>Workshops</v>
      </c>
      <c r="G337" s="145" t="n">
        <f aca="false">INDEX('W Programs'!$F$15:$H$15,1,D337)*INDEX('W Assumptions'!$D$7:$F$7,1,D337)*'W Assumptions'!E106/SUM('W Assumptions'!E$95:E$106)</f>
        <v>8</v>
      </c>
      <c r="H337" s="81" t="n">
        <f aca="false">G337*INDEX('W Programs'!$I$15:$K$15,1,D337)*INDEX('W Assumptions'!$D$12:$F$12,1,D337)</f>
        <v>40000</v>
      </c>
      <c r="I337" s="81" t="n">
        <f aca="false">H337*CHOOSE(D337,'W Programs'!L15,'W Programs'!Q15,'W Programs'!R15)*INDEX('W Assumptions'!$D$17:$F$17,1,D337)</f>
        <v>16800</v>
      </c>
      <c r="J337" s="81" t="n">
        <f aca="false">H337*'W Programs'!$M$15*'W Programs'!$O$15</f>
        <v>0</v>
      </c>
      <c r="K337" s="149" t="n">
        <f aca="false">'W Programs'!$N$15</f>
        <v>0.7</v>
      </c>
      <c r="L337" s="81" t="n">
        <f aca="false">H337*K337+H309*(1-K337)</f>
        <v>40000</v>
      </c>
      <c r="M337" s="81" t="n">
        <f aca="false">L337*'W Programs'!$M$15*'W Programs'!$O$15</f>
        <v>0</v>
      </c>
      <c r="N337" s="81" t="n">
        <f aca="false">I337*'W Assumptions'!$D$55+I323*(1-'W Assumptions'!$D$55)</f>
        <v>16800</v>
      </c>
      <c r="O337" s="81" t="n">
        <f aca="false">H337-I337-J337</f>
        <v>23200</v>
      </c>
    </row>
    <row r="338" customFormat="false" ht="21" hidden="false" customHeight="true" outlineLevel="0" collapsed="false">
      <c r="C338" s="144" t="n">
        <f aca="false">46966</f>
        <v>46966</v>
      </c>
      <c r="D338" s="81" t="n">
        <f aca="false">2</f>
        <v>2</v>
      </c>
      <c r="E338" s="81" t="str">
        <f aca="false">'W Programs'!C16</f>
        <v>WOO IP</v>
      </c>
      <c r="F338" s="81" t="str">
        <f aca="false">'W Programs'!D16</f>
        <v>Installations</v>
      </c>
      <c r="G338" s="145" t="n">
        <f aca="false">INDEX('W Programs'!$F$16:$H$16,1,D338)*INDEX('W Assumptions'!$D$7:$F$7,1,D338)*'W Assumptions'!E106/SUM('W Assumptions'!E$95:E$106)</f>
        <v>0.15</v>
      </c>
      <c r="H338" s="81" t="n">
        <f aca="false">G338*INDEX('W Programs'!$I$16:$K$16,1,D338)*INDEX('W Assumptions'!$D$12:$F$12,1,D338)</f>
        <v>45000</v>
      </c>
      <c r="I338" s="81" t="n">
        <f aca="false">H338*CHOOSE(D338,'W Programs'!L16,'W Programs'!Q16,'W Programs'!R16)*INDEX('W Assumptions'!$D$17:$F$17,1,D338)</f>
        <v>27000</v>
      </c>
      <c r="J338" s="81" t="n">
        <f aca="false">H338*'W Programs'!$M$16*'W Programs'!$O$16</f>
        <v>0</v>
      </c>
      <c r="K338" s="149" t="n">
        <f aca="false">'W Programs'!$N$16</f>
        <v>0.3</v>
      </c>
      <c r="L338" s="81" t="n">
        <f aca="false">H338*K338+H310*(1-K338)</f>
        <v>45000</v>
      </c>
      <c r="M338" s="81" t="n">
        <f aca="false">L338*'W Programs'!$M$16*'W Programs'!$O$16</f>
        <v>0</v>
      </c>
      <c r="N338" s="81" t="n">
        <f aca="false">I338*'W Assumptions'!$D$55+I324*(1-'W Assumptions'!$D$55)</f>
        <v>27000</v>
      </c>
      <c r="O338" s="81" t="n">
        <f aca="false">H338-I338-J338</f>
        <v>18000</v>
      </c>
    </row>
    <row r="339" customFormat="false" ht="21" hidden="false" customHeight="true" outlineLevel="0" collapsed="false">
      <c r="C339" s="144" t="n">
        <f aca="false">46966</f>
        <v>46966</v>
      </c>
      <c r="D339" s="81" t="n">
        <f aca="false">2</f>
        <v>2</v>
      </c>
      <c r="E339" s="81" t="str">
        <f aca="false">'W Programs'!C17</f>
        <v>WOO IP</v>
      </c>
      <c r="F339" s="81" t="str">
        <f aca="false">'W Programs'!D17</f>
        <v>Digital</v>
      </c>
      <c r="G339" s="145" t="n">
        <f aca="false">INDEX('W Programs'!$F$17:$H$17,1,D339)*INDEX('W Assumptions'!$D$7:$F$7,1,D339)*'W Assumptions'!E106/SUM('W Assumptions'!E$95:E$106)</f>
        <v>75</v>
      </c>
      <c r="H339" s="81" t="n">
        <f aca="false">G339*INDEX('W Programs'!$I$17:$K$17,1,D339)*INDEX('W Assumptions'!$D$12:$F$12,1,D339)</f>
        <v>26250</v>
      </c>
      <c r="I339" s="81" t="n">
        <f aca="false">H339*CHOOSE(D339,'W Programs'!L17,'W Programs'!Q17,'W Programs'!R17)*INDEX('W Assumptions'!$D$17:$F$17,1,D339)</f>
        <v>4725</v>
      </c>
      <c r="J339" s="81" t="n">
        <f aca="false">H339*'W Programs'!$M$17*'W Programs'!$O$17</f>
        <v>0</v>
      </c>
      <c r="K339" s="149" t="n">
        <f aca="false">'W Programs'!$N$17</f>
        <v>1</v>
      </c>
      <c r="L339" s="81" t="n">
        <f aca="false">H339*K339+H311*(1-K339)</f>
        <v>26250</v>
      </c>
      <c r="M339" s="81" t="n">
        <f aca="false">L339*'W Programs'!$M$17*'W Programs'!$O$17</f>
        <v>0</v>
      </c>
      <c r="N339" s="81" t="n">
        <f aca="false">I339*'W Assumptions'!$D$55+I325*(1-'W Assumptions'!$D$55)</f>
        <v>4725</v>
      </c>
      <c r="O339" s="81" t="n">
        <f aca="false">H339-I339-J339</f>
        <v>21525</v>
      </c>
    </row>
    <row r="340" customFormat="false" ht="21" hidden="false" customHeight="true" outlineLevel="0" collapsed="false">
      <c r="C340" s="144" t="n">
        <f aca="false">46966</f>
        <v>46966</v>
      </c>
      <c r="D340" s="81" t="n">
        <f aca="false">2</f>
        <v>2</v>
      </c>
      <c r="E340" s="81" t="str">
        <f aca="false">'W Programs'!C18</f>
        <v>WOO IP</v>
      </c>
      <c r="F340" s="81" t="str">
        <f aca="false">'W Programs'!D18</f>
        <v>Retail</v>
      </c>
      <c r="G340" s="145" t="n">
        <f aca="false">INDEX('W Programs'!$F$18:$H$18,1,D340)*INDEX('W Assumptions'!$D$7:$F$7,1,D340)*'W Assumptions'!E106/SUM('W Assumptions'!E$95:E$106)</f>
        <v>200</v>
      </c>
      <c r="H340" s="81" t="n">
        <f aca="false">G340*INDEX('W Programs'!$I$18:$K$18,1,D340)*INDEX('W Assumptions'!$D$12:$F$12,1,D340)</f>
        <v>50000</v>
      </c>
      <c r="I340" s="81" t="n">
        <f aca="false">H340*CHOOSE(D340,'W Programs'!L18,'W Programs'!Q18,'W Programs'!R18)*INDEX('W Assumptions'!$D$17:$F$17,1,D340)</f>
        <v>25000</v>
      </c>
      <c r="J340" s="81" t="n">
        <f aca="false">H340*'W Programs'!$M$18*'W Programs'!$O$18</f>
        <v>0</v>
      </c>
      <c r="K340" s="149" t="n">
        <f aca="false">'W Programs'!$N$18</f>
        <v>1</v>
      </c>
      <c r="L340" s="81" t="n">
        <f aca="false">H340*K340+H312*(1-K340)</f>
        <v>50000</v>
      </c>
      <c r="M340" s="81" t="n">
        <f aca="false">L340*'W Programs'!$M$18*'W Programs'!$O$18</f>
        <v>0</v>
      </c>
      <c r="N340" s="81" t="n">
        <f aca="false">I340*'W Assumptions'!$D$55+I326*(1-'W Assumptions'!$D$55)</f>
        <v>25000</v>
      </c>
      <c r="O340" s="81" t="n">
        <f aca="false">H340-I340-J340</f>
        <v>25000</v>
      </c>
    </row>
    <row r="341" customFormat="false" ht="21" hidden="false" customHeight="true" outlineLevel="0" collapsed="false">
      <c r="C341" s="144" t="n">
        <f aca="false">46966</f>
        <v>46966</v>
      </c>
      <c r="D341" s="81" t="n">
        <f aca="false">2</f>
        <v>2</v>
      </c>
      <c r="E341" s="81" t="str">
        <f aca="false">'W Programs'!C19</f>
        <v>WOO IP</v>
      </c>
      <c r="F341" s="81" t="str">
        <f aca="false">'W Programs'!D19</f>
        <v>Licensing</v>
      </c>
      <c r="G341" s="145" t="n">
        <f aca="false">INDEX('W Programs'!$F$19:$H$19,1,D341)*INDEX('W Assumptions'!$D$7:$F$7,1,D341)*'W Assumptions'!E106/SUM('W Assumptions'!E$95:E$106)</f>
        <v>0.05</v>
      </c>
      <c r="H341" s="81" t="n">
        <f aca="false">G341*INDEX('W Programs'!$I$19:$K$19,1,D341)*INDEX('W Assumptions'!$D$12:$F$12,1,D341)</f>
        <v>15000</v>
      </c>
      <c r="I341" s="81" t="n">
        <f aca="false">H341*CHOOSE(D341,'W Programs'!L19,'W Programs'!Q19,'W Programs'!R19)*INDEX('W Assumptions'!$D$17:$F$17,1,D341)</f>
        <v>1800</v>
      </c>
      <c r="J341" s="81" t="n">
        <f aca="false">H341*'W Programs'!$M$19*'W Programs'!$O$19</f>
        <v>0</v>
      </c>
      <c r="K341" s="149" t="n">
        <f aca="false">'W Programs'!$N$19</f>
        <v>0.3</v>
      </c>
      <c r="L341" s="81" t="n">
        <f aca="false">H341*K341+H313*(1-K341)</f>
        <v>15000</v>
      </c>
      <c r="M341" s="81" t="n">
        <f aca="false">L341*'W Programs'!$M$19*'W Programs'!$O$19</f>
        <v>0</v>
      </c>
      <c r="N341" s="81" t="n">
        <f aca="false">I341*'W Assumptions'!$D$55+I327*(1-'W Assumptions'!$D$55)</f>
        <v>1800</v>
      </c>
      <c r="O341" s="81" t="n">
        <f aca="false">H341-I341-J341</f>
        <v>13200</v>
      </c>
    </row>
    <row r="342" customFormat="false" ht="21" hidden="false" customHeight="true" outlineLevel="0" collapsed="false">
      <c r="C342" s="144" t="n">
        <f aca="false">46997</f>
        <v>46997</v>
      </c>
      <c r="D342" s="81" t="n">
        <f aca="false">3</f>
        <v>3</v>
      </c>
      <c r="E342" s="81" t="str">
        <f aca="false">'W Programs'!C6</f>
        <v>TLI</v>
      </c>
      <c r="F342" s="81" t="str">
        <f aca="false">'W Programs'!D6</f>
        <v>Schools</v>
      </c>
      <c r="G342" s="145" t="n">
        <f aca="false">INDEX('W Programs'!$F$6:$H$6,1,D342)*INDEX('W Assumptions'!$D$7:$F$7,1,D342)*'W Assumptions'!F95/SUM('W Assumptions'!F$95:F$106)</f>
        <v>0.9375</v>
      </c>
      <c r="H342" s="81" t="n">
        <f aca="false">G342*INDEX('W Programs'!$I$6:$K$6,1,D342)*INDEX('W Assumptions'!$D$12:$F$12,1,D342)</f>
        <v>178125</v>
      </c>
      <c r="I342" s="81" t="n">
        <f aca="false">H342*CHOOSE(D342,'W Programs'!L6,'W Programs'!Q6,'W Programs'!R6)*INDEX('W Assumptions'!$D$17:$F$17,1,D342)</f>
        <v>67687.5</v>
      </c>
      <c r="J342" s="81" t="n">
        <f aca="false">H342*'W Programs'!$M$6*'W Programs'!$O$6</f>
        <v>0</v>
      </c>
      <c r="K342" s="149" t="n">
        <f aca="false">'W Programs'!$N$6</f>
        <v>0.3</v>
      </c>
      <c r="L342" s="81" t="n">
        <f aca="false">H342*K342+H314*(1-K342)</f>
        <v>108970.833333333</v>
      </c>
      <c r="M342" s="81" t="n">
        <f aca="false">L342*'W Programs'!$M$6*'W Programs'!$O$6</f>
        <v>0</v>
      </c>
      <c r="N342" s="81" t="n">
        <f aca="false">I342*'W Assumptions'!$D$55+I328*(1-'W Assumptions'!$D$55)</f>
        <v>60496.6666666667</v>
      </c>
      <c r="O342" s="81" t="n">
        <f aca="false">H342-I342-J342</f>
        <v>110437.5</v>
      </c>
    </row>
    <row r="343" customFormat="false" ht="21" hidden="false" customHeight="true" outlineLevel="0" collapsed="false">
      <c r="C343" s="144" t="n">
        <f aca="false">46997</f>
        <v>46997</v>
      </c>
      <c r="D343" s="81" t="n">
        <f aca="false">3</f>
        <v>3</v>
      </c>
      <c r="E343" s="81" t="str">
        <f aca="false">'W Programs'!C7</f>
        <v>TLI</v>
      </c>
      <c r="F343" s="81" t="str">
        <f aca="false">'W Programs'!D7</f>
        <v>Activations</v>
      </c>
      <c r="G343" s="145" t="n">
        <f aca="false">INDEX('W Programs'!$F$7:$H$7,1,D343)*INDEX('W Assumptions'!$D$7:$F$7,1,D343)*'W Assumptions'!F95/SUM('W Assumptions'!F$95:F$106)</f>
        <v>1.125</v>
      </c>
      <c r="H343" s="81" t="n">
        <f aca="false">G343*INDEX('W Programs'!$I$7:$K$7,1,D343)*INDEX('W Assumptions'!$D$12:$F$12,1,D343)</f>
        <v>95625</v>
      </c>
      <c r="I343" s="81" t="n">
        <f aca="false">H343*CHOOSE(D343,'W Programs'!L7,'W Programs'!Q7,'W Programs'!R7)*INDEX('W Assumptions'!$D$17:$F$17,1,D343)</f>
        <v>47812.5</v>
      </c>
      <c r="J343" s="81" t="n">
        <f aca="false">H343*'W Programs'!$M$7*'W Programs'!$O$7</f>
        <v>0</v>
      </c>
      <c r="K343" s="149" t="n">
        <f aca="false">'W Programs'!$N$7</f>
        <v>0.3</v>
      </c>
      <c r="L343" s="81" t="n">
        <f aca="false">H343*K343+H315*(1-K343)</f>
        <v>60187.5</v>
      </c>
      <c r="M343" s="81" t="n">
        <f aca="false">L343*'W Programs'!$M$7*'W Programs'!$O$7</f>
        <v>0</v>
      </c>
      <c r="N343" s="81" t="n">
        <f aca="false">I343*'W Assumptions'!$D$55+I329*(1-'W Assumptions'!$D$55)</f>
        <v>42930</v>
      </c>
      <c r="O343" s="81" t="n">
        <f aca="false">H343-I343-J343</f>
        <v>47812.5</v>
      </c>
    </row>
    <row r="344" customFormat="false" ht="21" hidden="false" customHeight="true" outlineLevel="0" collapsed="false">
      <c r="C344" s="144" t="n">
        <f aca="false">46997</f>
        <v>46997</v>
      </c>
      <c r="D344" s="81" t="n">
        <f aca="false">3</f>
        <v>3</v>
      </c>
      <c r="E344" s="81" t="str">
        <f aca="false">'W Programs'!C8</f>
        <v>TLI</v>
      </c>
      <c r="F344" s="81" t="str">
        <f aca="false">'W Programs'!D8</f>
        <v>Workshops</v>
      </c>
      <c r="G344" s="145" t="n">
        <f aca="false">INDEX('W Programs'!$F$8:$H$8,1,D344)*INDEX('W Assumptions'!$D$7:$F$7,1,D344)*'W Assumptions'!F95/SUM('W Assumptions'!F$95:F$106)</f>
        <v>9.75</v>
      </c>
      <c r="H344" s="81" t="n">
        <f aca="false">G344*INDEX('W Programs'!$I$8:$K$8,1,D344)*INDEX('W Assumptions'!$D$12:$F$12,1,D344)</f>
        <v>53625</v>
      </c>
      <c r="I344" s="81" t="n">
        <f aca="false">H344*CHOOSE(D344,'W Programs'!L8,'W Programs'!Q8,'W Programs'!R8)*INDEX('W Assumptions'!$D$17:$F$17,1,D344)</f>
        <v>21450</v>
      </c>
      <c r="J344" s="81" t="n">
        <f aca="false">H344*'W Programs'!$M$8*'W Programs'!$O$8</f>
        <v>0</v>
      </c>
      <c r="K344" s="149" t="n">
        <f aca="false">'W Programs'!$N$8</f>
        <v>0.7</v>
      </c>
      <c r="L344" s="81" t="n">
        <f aca="false">H344*K344+H316*(1-K344)</f>
        <v>45537.5</v>
      </c>
      <c r="M344" s="81" t="n">
        <f aca="false">L344*'W Programs'!$M$8*'W Programs'!$O$8</f>
        <v>0</v>
      </c>
      <c r="N344" s="81" t="n">
        <f aca="false">I344*'W Assumptions'!$D$55+I330*(1-'W Assumptions'!$D$55)</f>
        <v>19400</v>
      </c>
      <c r="O344" s="81" t="n">
        <f aca="false">H344-I344-J344</f>
        <v>32175</v>
      </c>
    </row>
    <row r="345" customFormat="false" ht="21" hidden="false" customHeight="true" outlineLevel="0" collapsed="false">
      <c r="C345" s="144" t="n">
        <f aca="false">46997</f>
        <v>46997</v>
      </c>
      <c r="D345" s="81" t="n">
        <f aca="false">3</f>
        <v>3</v>
      </c>
      <c r="E345" s="81" t="str">
        <f aca="false">'W Programs'!C9</f>
        <v>TLI</v>
      </c>
      <c r="F345" s="81" t="str">
        <f aca="false">'W Programs'!D9</f>
        <v>Installations</v>
      </c>
      <c r="G345" s="145" t="n">
        <f aca="false">INDEX('W Programs'!$F$9:$H$9,1,D345)*INDEX('W Assumptions'!$D$7:$F$7,1,D345)*'W Assumptions'!F95/SUM('W Assumptions'!F$95:F$106)</f>
        <v>0.1875</v>
      </c>
      <c r="H345" s="81" t="n">
        <f aca="false">G345*INDEX('W Programs'!$I$9:$K$9,1,D345)*INDEX('W Assumptions'!$D$12:$F$12,1,D345)</f>
        <v>61875</v>
      </c>
      <c r="I345" s="81" t="n">
        <f aca="false">H345*CHOOSE(D345,'W Programs'!L9,'W Programs'!Q9,'W Programs'!R9)*INDEX('W Assumptions'!$D$17:$F$17,1,D345)</f>
        <v>35887.5</v>
      </c>
      <c r="J345" s="81" t="n">
        <f aca="false">H345*'W Programs'!$M$9*'W Programs'!$O$9</f>
        <v>0</v>
      </c>
      <c r="K345" s="149" t="n">
        <f aca="false">'W Programs'!$N$9</f>
        <v>0.3</v>
      </c>
      <c r="L345" s="81" t="n">
        <f aca="false">H345*K345+H317*(1-K345)</f>
        <v>39562.5</v>
      </c>
      <c r="M345" s="81" t="n">
        <f aca="false">L345*'W Programs'!$M$9*'W Programs'!$O$9</f>
        <v>0</v>
      </c>
      <c r="N345" s="81" t="n">
        <f aca="false">I345*'W Assumptions'!$D$55+I331*(1-'W Assumptions'!$D$55)</f>
        <v>32310</v>
      </c>
      <c r="O345" s="81" t="n">
        <f aca="false">H345-I345-J345</f>
        <v>25987.5</v>
      </c>
    </row>
    <row r="346" customFormat="false" ht="21" hidden="false" customHeight="true" outlineLevel="0" collapsed="false">
      <c r="C346" s="144" t="n">
        <f aca="false">46997</f>
        <v>46997</v>
      </c>
      <c r="D346" s="81" t="n">
        <f aca="false">3</f>
        <v>3</v>
      </c>
      <c r="E346" s="81" t="str">
        <f aca="false">'W Programs'!C10</f>
        <v>TLI</v>
      </c>
      <c r="F346" s="81" t="str">
        <f aca="false">'W Programs'!D10</f>
        <v>Digital</v>
      </c>
      <c r="G346" s="145" t="n">
        <f aca="false">INDEX('W Programs'!$F$10:$H$10,1,D346)*INDEX('W Assumptions'!$D$7:$F$7,1,D346)*'W Assumptions'!F95/SUM('W Assumptions'!F$95:F$106)</f>
        <v>150</v>
      </c>
      <c r="H346" s="81" t="n">
        <f aca="false">G346*INDEX('W Programs'!$I$10:$K$10,1,D346)*INDEX('W Assumptions'!$D$12:$F$12,1,D346)</f>
        <v>56250</v>
      </c>
      <c r="I346" s="81" t="n">
        <f aca="false">H346*CHOOSE(D346,'W Programs'!L10,'W Programs'!Q10,'W Programs'!R10)*INDEX('W Assumptions'!$D$17:$F$17,1,D346)</f>
        <v>9000</v>
      </c>
      <c r="J346" s="81" t="n">
        <f aca="false">H346*'W Programs'!$M$10*'W Programs'!$O$10</f>
        <v>0</v>
      </c>
      <c r="K346" s="149" t="n">
        <f aca="false">'W Programs'!$N$10</f>
        <v>1</v>
      </c>
      <c r="L346" s="81" t="n">
        <f aca="false">H346*K346+H318*(1-K346)</f>
        <v>56250</v>
      </c>
      <c r="M346" s="81" t="n">
        <f aca="false">L346*'W Programs'!$M$10*'W Programs'!$O$10</f>
        <v>0</v>
      </c>
      <c r="N346" s="81" t="n">
        <f aca="false">I346*'W Assumptions'!$D$55+I332*(1-'W Assumptions'!$D$55)</f>
        <v>7830</v>
      </c>
      <c r="O346" s="81" t="n">
        <f aca="false">H346-I346-J346</f>
        <v>47250</v>
      </c>
    </row>
    <row r="347" customFormat="false" ht="21" hidden="false" customHeight="true" outlineLevel="0" collapsed="false">
      <c r="C347" s="144" t="n">
        <f aca="false">46997</f>
        <v>46997</v>
      </c>
      <c r="D347" s="81" t="n">
        <f aca="false">3</f>
        <v>3</v>
      </c>
      <c r="E347" s="81" t="str">
        <f aca="false">'W Programs'!C11</f>
        <v>TLI</v>
      </c>
      <c r="F347" s="81" t="str">
        <f aca="false">'W Programs'!D11</f>
        <v>Retail</v>
      </c>
      <c r="G347" s="145" t="n">
        <f aca="false">INDEX('W Programs'!$F$11:$H$11,1,D347)*INDEX('W Assumptions'!$D$7:$F$7,1,D347)*'W Assumptions'!F95/SUM('W Assumptions'!F$95:F$106)</f>
        <v>337.5</v>
      </c>
      <c r="H347" s="81" t="n">
        <f aca="false">G347*INDEX('W Programs'!$I$11:$K$11,1,D347)*INDEX('W Assumptions'!$D$12:$F$12,1,D347)</f>
        <v>87750</v>
      </c>
      <c r="I347" s="81" t="n">
        <f aca="false">H347*CHOOSE(D347,'W Programs'!L11,'W Programs'!Q11,'W Programs'!R11)*INDEX('W Assumptions'!$D$17:$F$17,1,D347)</f>
        <v>42120</v>
      </c>
      <c r="J347" s="81" t="n">
        <f aca="false">H347*'W Programs'!$M$11*'W Programs'!$O$11</f>
        <v>0</v>
      </c>
      <c r="K347" s="149" t="n">
        <f aca="false">'W Programs'!$N$11</f>
        <v>1</v>
      </c>
      <c r="L347" s="81" t="n">
        <f aca="false">H347*K347+H319*(1-K347)</f>
        <v>87750</v>
      </c>
      <c r="M347" s="81" t="n">
        <f aca="false">L347*'W Programs'!$M$11*'W Programs'!$O$11</f>
        <v>0</v>
      </c>
      <c r="N347" s="81" t="n">
        <f aca="false">I347*'W Assumptions'!$D$55+I333*(1-'W Assumptions'!$D$55)</f>
        <v>37029.3333333333</v>
      </c>
      <c r="O347" s="81" t="n">
        <f aca="false">H347-I347-J347</f>
        <v>45630</v>
      </c>
    </row>
    <row r="348" customFormat="false" ht="21" hidden="false" customHeight="true" outlineLevel="0" collapsed="false">
      <c r="C348" s="144" t="n">
        <f aca="false">46997</f>
        <v>46997</v>
      </c>
      <c r="D348" s="81" t="n">
        <f aca="false">3</f>
        <v>3</v>
      </c>
      <c r="E348" s="81" t="str">
        <f aca="false">'W Programs'!C12</f>
        <v>TLI</v>
      </c>
      <c r="F348" s="81" t="str">
        <f aca="false">'W Programs'!D12</f>
        <v>Licensing</v>
      </c>
      <c r="G348" s="145" t="n">
        <f aca="false">INDEX('W Programs'!$F$12:$H$12,1,D348)*INDEX('W Assumptions'!$D$7:$F$7,1,D348)*'W Assumptions'!F95/SUM('W Assumptions'!F$95:F$106)</f>
        <v>0.0375</v>
      </c>
      <c r="H348" s="81" t="n">
        <f aca="false">G348*INDEX('W Programs'!$I$12:$K$12,1,D348)*INDEX('W Assumptions'!$D$12:$F$12,1,D348)</f>
        <v>30000</v>
      </c>
      <c r="I348" s="81" t="n">
        <f aca="false">H348*CHOOSE(D348,'W Programs'!L12,'W Programs'!Q12,'W Programs'!R12)*INDEX('W Assumptions'!$D$17:$F$17,1,D348)</f>
        <v>3000</v>
      </c>
      <c r="J348" s="81" t="n">
        <f aca="false">H348*'W Programs'!$M$12*'W Programs'!$O$12</f>
        <v>0</v>
      </c>
      <c r="K348" s="149" t="n">
        <f aca="false">'W Programs'!$N$12</f>
        <v>0.3</v>
      </c>
      <c r="L348" s="81" t="n">
        <f aca="false">H348*K348+H320*(1-K348)</f>
        <v>16000</v>
      </c>
      <c r="M348" s="81" t="n">
        <f aca="false">L348*'W Programs'!$M$12*'W Programs'!$O$12</f>
        <v>0</v>
      </c>
      <c r="N348" s="81" t="n">
        <f aca="false">I348*'W Assumptions'!$D$55+I334*(1-'W Assumptions'!$D$55)</f>
        <v>2640</v>
      </c>
      <c r="O348" s="81" t="n">
        <f aca="false">H348-I348-J348</f>
        <v>27000</v>
      </c>
    </row>
    <row r="349" customFormat="false" ht="21" hidden="false" customHeight="true" outlineLevel="0" collapsed="false">
      <c r="C349" s="144" t="n">
        <f aca="false">46997</f>
        <v>46997</v>
      </c>
      <c r="D349" s="81" t="n">
        <f aca="false">3</f>
        <v>3</v>
      </c>
      <c r="E349" s="81" t="str">
        <f aca="false">'W Programs'!C13</f>
        <v>WOO IP</v>
      </c>
      <c r="F349" s="81" t="str">
        <f aca="false">'W Programs'!D13</f>
        <v>Schools</v>
      </c>
      <c r="G349" s="145" t="n">
        <f aca="false">INDEX('W Programs'!$F$13:$H$13,1,D349)*INDEX('W Assumptions'!$D$7:$F$7,1,D349)*'W Assumptions'!F95/SUM('W Assumptions'!F$95:F$106)</f>
        <v>1.14583333333333</v>
      </c>
      <c r="H349" s="81" t="n">
        <f aca="false">G349*INDEX('W Programs'!$I$13:$K$13,1,D349)*INDEX('W Assumptions'!$D$12:$F$12,1,D349)</f>
        <v>217708.333333333</v>
      </c>
      <c r="I349" s="81" t="n">
        <f aca="false">H349*CHOOSE(D349,'W Programs'!L13,'W Programs'!Q13,'W Programs'!R13)*INDEX('W Assumptions'!$D$17:$F$17,1,D349)</f>
        <v>82729.1666666667</v>
      </c>
      <c r="J349" s="81" t="n">
        <f aca="false">H349*'W Programs'!$M$13*'W Programs'!$O$13</f>
        <v>0</v>
      </c>
      <c r="K349" s="149" t="n">
        <f aca="false">'W Programs'!$N$13</f>
        <v>0.3</v>
      </c>
      <c r="L349" s="81" t="n">
        <f aca="false">H349*K349+H321*(1-K349)</f>
        <v>148612.5</v>
      </c>
      <c r="M349" s="81" t="n">
        <f aca="false">L349*'W Programs'!$M$13*'W Programs'!$O$13</f>
        <v>0</v>
      </c>
      <c r="N349" s="81" t="n">
        <f aca="false">I349*'W Assumptions'!$D$55+I335*(1-'W Assumptions'!$D$55)</f>
        <v>75703.3333333334</v>
      </c>
      <c r="O349" s="81" t="n">
        <f aca="false">H349-I349-J349</f>
        <v>134979.166666667</v>
      </c>
    </row>
    <row r="350" customFormat="false" ht="21" hidden="false" customHeight="true" outlineLevel="0" collapsed="false">
      <c r="C350" s="144" t="n">
        <f aca="false">46997</f>
        <v>46997</v>
      </c>
      <c r="D350" s="81" t="n">
        <f aca="false">3</f>
        <v>3</v>
      </c>
      <c r="E350" s="81" t="str">
        <f aca="false">'W Programs'!C14</f>
        <v>WOO IP</v>
      </c>
      <c r="F350" s="81" t="str">
        <f aca="false">'W Programs'!D14</f>
        <v>Activations</v>
      </c>
      <c r="G350" s="145" t="n">
        <f aca="false">INDEX('W Programs'!$F$14:$H$14,1,D350)*INDEX('W Assumptions'!$D$7:$F$7,1,D350)*'W Assumptions'!F95/SUM('W Assumptions'!F$95:F$106)</f>
        <v>1.375</v>
      </c>
      <c r="H350" s="81" t="n">
        <f aca="false">G350*INDEX('W Programs'!$I$14:$K$14,1,D350)*INDEX('W Assumptions'!$D$12:$F$12,1,D350)</f>
        <v>116875</v>
      </c>
      <c r="I350" s="81" t="n">
        <f aca="false">H350*CHOOSE(D350,'W Programs'!L14,'W Programs'!Q14,'W Programs'!R14)*INDEX('W Assumptions'!$D$17:$F$17,1,D350)</f>
        <v>58437.5</v>
      </c>
      <c r="J350" s="81" t="n">
        <f aca="false">H350*'W Programs'!$M$14*'W Programs'!$O$14</f>
        <v>0</v>
      </c>
      <c r="K350" s="149" t="n">
        <f aca="false">'W Programs'!$N$14</f>
        <v>0.3</v>
      </c>
      <c r="L350" s="81" t="n">
        <f aca="false">H350*K350+H322*(1-K350)</f>
        <v>82312.5</v>
      </c>
      <c r="M350" s="81" t="n">
        <f aca="false">L350*'W Programs'!$M$14*'W Programs'!$O$14</f>
        <v>0</v>
      </c>
      <c r="N350" s="81" t="n">
        <f aca="false">I350*'W Assumptions'!$D$55+I336*(1-'W Assumptions'!$D$55)</f>
        <v>53770</v>
      </c>
      <c r="O350" s="81" t="n">
        <f aca="false">H350-I350-J350</f>
        <v>58437.5</v>
      </c>
    </row>
    <row r="351" customFormat="false" ht="21" hidden="false" customHeight="true" outlineLevel="0" collapsed="false">
      <c r="C351" s="144" t="n">
        <f aca="false">46997</f>
        <v>46997</v>
      </c>
      <c r="D351" s="81" t="n">
        <f aca="false">3</f>
        <v>3</v>
      </c>
      <c r="E351" s="81" t="str">
        <f aca="false">'W Programs'!C15</f>
        <v>WOO IP</v>
      </c>
      <c r="F351" s="81" t="str">
        <f aca="false">'W Programs'!D15</f>
        <v>Workshops</v>
      </c>
      <c r="G351" s="145" t="n">
        <f aca="false">INDEX('W Programs'!$F$15:$H$15,1,D351)*INDEX('W Assumptions'!$D$7:$F$7,1,D351)*'W Assumptions'!F95/SUM('W Assumptions'!F$95:F$106)</f>
        <v>11.9166666666667</v>
      </c>
      <c r="H351" s="81" t="n">
        <f aca="false">G351*INDEX('W Programs'!$I$15:$K$15,1,D351)*INDEX('W Assumptions'!$D$12:$F$12,1,D351)</f>
        <v>65541.6666666667</v>
      </c>
      <c r="I351" s="81" t="n">
        <f aca="false">H351*CHOOSE(D351,'W Programs'!L15,'W Programs'!Q15,'W Programs'!R15)*INDEX('W Assumptions'!$D$17:$F$17,1,D351)</f>
        <v>26216.6666666667</v>
      </c>
      <c r="J351" s="81" t="n">
        <f aca="false">H351*'W Programs'!$M$15*'W Programs'!$O$15</f>
        <v>0</v>
      </c>
      <c r="K351" s="149" t="n">
        <f aca="false">'W Programs'!$N$15</f>
        <v>0.7</v>
      </c>
      <c r="L351" s="81" t="n">
        <f aca="false">H351*K351+H323*(1-K351)</f>
        <v>57879.1666666667</v>
      </c>
      <c r="M351" s="81" t="n">
        <f aca="false">L351*'W Programs'!$M$15*'W Programs'!$O$15</f>
        <v>0</v>
      </c>
      <c r="N351" s="81" t="n">
        <f aca="false">I351*'W Assumptions'!$D$55+I337*(1-'W Assumptions'!$D$55)</f>
        <v>24333.3333333333</v>
      </c>
      <c r="O351" s="81" t="n">
        <f aca="false">H351-I351-J351</f>
        <v>39325</v>
      </c>
    </row>
    <row r="352" customFormat="false" ht="21" hidden="false" customHeight="true" outlineLevel="0" collapsed="false">
      <c r="C352" s="144" t="n">
        <f aca="false">46997</f>
        <v>46997</v>
      </c>
      <c r="D352" s="81" t="n">
        <f aca="false">3</f>
        <v>3</v>
      </c>
      <c r="E352" s="81" t="str">
        <f aca="false">'W Programs'!C16</f>
        <v>WOO IP</v>
      </c>
      <c r="F352" s="81" t="str">
        <f aca="false">'W Programs'!D16</f>
        <v>Installations</v>
      </c>
      <c r="G352" s="145" t="n">
        <f aca="false">INDEX('W Programs'!$F$16:$H$16,1,D352)*INDEX('W Assumptions'!$D$7:$F$7,1,D352)*'W Assumptions'!F95/SUM('W Assumptions'!F$95:F$106)</f>
        <v>0.229166666666667</v>
      </c>
      <c r="H352" s="81" t="n">
        <f aca="false">G352*INDEX('W Programs'!$I$16:$K$16,1,D352)*INDEX('W Assumptions'!$D$12:$F$12,1,D352)</f>
        <v>75625</v>
      </c>
      <c r="I352" s="81" t="n">
        <f aca="false">H352*CHOOSE(D352,'W Programs'!L16,'W Programs'!Q16,'W Programs'!R16)*INDEX('W Assumptions'!$D$17:$F$17,1,D352)</f>
        <v>43862.5</v>
      </c>
      <c r="J352" s="81" t="n">
        <f aca="false">H352*'W Programs'!$M$16*'W Programs'!$O$16</f>
        <v>0</v>
      </c>
      <c r="K352" s="149" t="n">
        <f aca="false">'W Programs'!$N$16</f>
        <v>0.3</v>
      </c>
      <c r="L352" s="81" t="n">
        <f aca="false">H352*K352+H324*(1-K352)</f>
        <v>54187.5</v>
      </c>
      <c r="M352" s="81" t="n">
        <f aca="false">L352*'W Programs'!$M$16*'W Programs'!$O$16</f>
        <v>0</v>
      </c>
      <c r="N352" s="81" t="n">
        <f aca="false">I352*'W Assumptions'!$D$55+I338*(1-'W Assumptions'!$D$55)</f>
        <v>40490</v>
      </c>
      <c r="O352" s="81" t="n">
        <f aca="false">H352-I352-J352</f>
        <v>31762.5</v>
      </c>
    </row>
    <row r="353" customFormat="false" ht="21" hidden="false" customHeight="true" outlineLevel="0" collapsed="false">
      <c r="C353" s="144" t="n">
        <f aca="false">46997</f>
        <v>46997</v>
      </c>
      <c r="D353" s="81" t="n">
        <f aca="false">3</f>
        <v>3</v>
      </c>
      <c r="E353" s="81" t="str">
        <f aca="false">'W Programs'!C17</f>
        <v>WOO IP</v>
      </c>
      <c r="F353" s="81" t="str">
        <f aca="false">'W Programs'!D17</f>
        <v>Digital</v>
      </c>
      <c r="G353" s="145" t="n">
        <f aca="false">INDEX('W Programs'!$F$17:$H$17,1,D353)*INDEX('W Assumptions'!$D$7:$F$7,1,D353)*'W Assumptions'!F95/SUM('W Assumptions'!F$95:F$106)</f>
        <v>183.333333333333</v>
      </c>
      <c r="H353" s="81" t="n">
        <f aca="false">G353*INDEX('W Programs'!$I$17:$K$17,1,D353)*INDEX('W Assumptions'!$D$12:$F$12,1,D353)</f>
        <v>68750</v>
      </c>
      <c r="I353" s="81" t="n">
        <f aca="false">H353*CHOOSE(D353,'W Programs'!L17,'W Programs'!Q17,'W Programs'!R17)*INDEX('W Assumptions'!$D$17:$F$17,1,D353)</f>
        <v>11000</v>
      </c>
      <c r="J353" s="81" t="n">
        <f aca="false">H353*'W Programs'!$M$17*'W Programs'!$O$17</f>
        <v>0</v>
      </c>
      <c r="K353" s="149" t="n">
        <f aca="false">'W Programs'!$N$17</f>
        <v>1</v>
      </c>
      <c r="L353" s="81" t="n">
        <f aca="false">H353*K353+H325*(1-K353)</f>
        <v>68750</v>
      </c>
      <c r="M353" s="81" t="n">
        <f aca="false">L353*'W Programs'!$M$17*'W Programs'!$O$17</f>
        <v>0</v>
      </c>
      <c r="N353" s="81" t="n">
        <f aca="false">I353*'W Assumptions'!$D$55+I339*(1-'W Assumptions'!$D$55)</f>
        <v>9745</v>
      </c>
      <c r="O353" s="81" t="n">
        <f aca="false">H353-I353-J353</f>
        <v>57750</v>
      </c>
    </row>
    <row r="354" customFormat="false" ht="21" hidden="false" customHeight="true" outlineLevel="0" collapsed="false">
      <c r="C354" s="144" t="n">
        <f aca="false">46997</f>
        <v>46997</v>
      </c>
      <c r="D354" s="81" t="n">
        <f aca="false">3</f>
        <v>3</v>
      </c>
      <c r="E354" s="81" t="str">
        <f aca="false">'W Programs'!C18</f>
        <v>WOO IP</v>
      </c>
      <c r="F354" s="81" t="str">
        <f aca="false">'W Programs'!D18</f>
        <v>Retail</v>
      </c>
      <c r="G354" s="145" t="n">
        <f aca="false">INDEX('W Programs'!$F$18:$H$18,1,D354)*INDEX('W Assumptions'!$D$7:$F$7,1,D354)*'W Assumptions'!F95/SUM('W Assumptions'!F$95:F$106)</f>
        <v>412.5</v>
      </c>
      <c r="H354" s="81" t="n">
        <f aca="false">G354*INDEX('W Programs'!$I$18:$K$18,1,D354)*INDEX('W Assumptions'!$D$12:$F$12,1,D354)</f>
        <v>107250</v>
      </c>
      <c r="I354" s="81" t="n">
        <f aca="false">H354*CHOOSE(D354,'W Programs'!L18,'W Programs'!Q18,'W Programs'!R18)*INDEX('W Assumptions'!$D$17:$F$17,1,D354)</f>
        <v>51480</v>
      </c>
      <c r="J354" s="81" t="n">
        <f aca="false">H354*'W Programs'!$M$18*'W Programs'!$O$18</f>
        <v>0</v>
      </c>
      <c r="K354" s="149" t="n">
        <f aca="false">'W Programs'!$N$18</f>
        <v>1</v>
      </c>
      <c r="L354" s="81" t="n">
        <f aca="false">H354*K354+H326*(1-K354)</f>
        <v>107250</v>
      </c>
      <c r="M354" s="81" t="n">
        <f aca="false">L354*'W Programs'!$M$18*'W Programs'!$O$18</f>
        <v>0</v>
      </c>
      <c r="N354" s="81" t="n">
        <f aca="false">I354*'W Assumptions'!$D$55+I340*(1-'W Assumptions'!$D$55)</f>
        <v>46184</v>
      </c>
      <c r="O354" s="81" t="n">
        <f aca="false">H354-I354-J354</f>
        <v>55770</v>
      </c>
    </row>
    <row r="355" customFormat="false" ht="21" hidden="false" customHeight="true" outlineLevel="0" collapsed="false">
      <c r="C355" s="144" t="n">
        <f aca="false">46997</f>
        <v>46997</v>
      </c>
      <c r="D355" s="81" t="n">
        <f aca="false">3</f>
        <v>3</v>
      </c>
      <c r="E355" s="81" t="str">
        <f aca="false">'W Programs'!C19</f>
        <v>WOO IP</v>
      </c>
      <c r="F355" s="81" t="str">
        <f aca="false">'W Programs'!D19</f>
        <v>Licensing</v>
      </c>
      <c r="G355" s="145" t="n">
        <f aca="false">INDEX('W Programs'!$F$19:$H$19,1,D355)*INDEX('W Assumptions'!$D$7:$F$7,1,D355)*'W Assumptions'!F95/SUM('W Assumptions'!F$95:F$106)</f>
        <v>0.0458333333333333</v>
      </c>
      <c r="H355" s="81" t="n">
        <f aca="false">G355*INDEX('W Programs'!$I$19:$K$19,1,D355)*INDEX('W Assumptions'!$D$12:$F$12,1,D355)</f>
        <v>36666.6666666667</v>
      </c>
      <c r="I355" s="81" t="n">
        <f aca="false">H355*CHOOSE(D355,'W Programs'!L19,'W Programs'!Q19,'W Programs'!R19)*INDEX('W Assumptions'!$D$17:$F$17,1,D355)</f>
        <v>3666.66666666667</v>
      </c>
      <c r="J355" s="81" t="n">
        <f aca="false">H355*'W Programs'!$M$19*'W Programs'!$O$19</f>
        <v>0</v>
      </c>
      <c r="K355" s="149" t="n">
        <f aca="false">'W Programs'!$N$19</f>
        <v>0.3</v>
      </c>
      <c r="L355" s="81" t="n">
        <f aca="false">H355*K355+H327*(1-K355)</f>
        <v>21500</v>
      </c>
      <c r="M355" s="81" t="n">
        <f aca="false">L355*'W Programs'!$M$19*'W Programs'!$O$19</f>
        <v>0</v>
      </c>
      <c r="N355" s="81" t="n">
        <f aca="false">I355*'W Assumptions'!$D$55+I341*(1-'W Assumptions'!$D$55)</f>
        <v>3293.33333333333</v>
      </c>
      <c r="O355" s="81" t="n">
        <f aca="false">H355-I355-J355</f>
        <v>33000</v>
      </c>
    </row>
    <row r="356" customFormat="false" ht="21" hidden="false" customHeight="true" outlineLevel="0" collapsed="false">
      <c r="C356" s="144" t="n">
        <f aca="false">47027</f>
        <v>47027</v>
      </c>
      <c r="D356" s="81" t="n">
        <f aca="false">3</f>
        <v>3</v>
      </c>
      <c r="E356" s="81" t="str">
        <f aca="false">'W Programs'!C6</f>
        <v>TLI</v>
      </c>
      <c r="F356" s="81" t="str">
        <f aca="false">'W Programs'!D6</f>
        <v>Schools</v>
      </c>
      <c r="G356" s="145" t="n">
        <f aca="false">INDEX('W Programs'!$F$6:$H$6,1,D356)*INDEX('W Assumptions'!$D$7:$F$7,1,D356)*'W Assumptions'!F96/SUM('W Assumptions'!F$95:F$106)</f>
        <v>0.9375</v>
      </c>
      <c r="H356" s="81" t="n">
        <f aca="false">G356*INDEX('W Programs'!$I$6:$K$6,1,D356)*INDEX('W Assumptions'!$D$12:$F$12,1,D356)</f>
        <v>178125</v>
      </c>
      <c r="I356" s="81" t="n">
        <f aca="false">H356*CHOOSE(D356,'W Programs'!L6,'W Programs'!Q6,'W Programs'!R6)*INDEX('W Assumptions'!$D$17:$F$17,1,D356)</f>
        <v>67687.5</v>
      </c>
      <c r="J356" s="81" t="n">
        <f aca="false">H356*'W Programs'!$M$6*'W Programs'!$O$6</f>
        <v>0</v>
      </c>
      <c r="K356" s="149" t="n">
        <f aca="false">'W Programs'!$N$6</f>
        <v>0.3</v>
      </c>
      <c r="L356" s="81" t="n">
        <f aca="false">H356*K356+H328*(1-K356)</f>
        <v>108970.833333333</v>
      </c>
      <c r="M356" s="81" t="n">
        <f aca="false">L356*'W Programs'!$M$6*'W Programs'!$O$6</f>
        <v>0</v>
      </c>
      <c r="N356" s="81" t="n">
        <f aca="false">I356*'W Assumptions'!$D$55+I342*(1-'W Assumptions'!$D$55)</f>
        <v>67687.5</v>
      </c>
      <c r="O356" s="81" t="n">
        <f aca="false">H356-I356-J356</f>
        <v>110437.5</v>
      </c>
    </row>
    <row r="357" customFormat="false" ht="21" hidden="false" customHeight="true" outlineLevel="0" collapsed="false">
      <c r="C357" s="144" t="n">
        <f aca="false">47027</f>
        <v>47027</v>
      </c>
      <c r="D357" s="81" t="n">
        <f aca="false">3</f>
        <v>3</v>
      </c>
      <c r="E357" s="81" t="str">
        <f aca="false">'W Programs'!C7</f>
        <v>TLI</v>
      </c>
      <c r="F357" s="81" t="str">
        <f aca="false">'W Programs'!D7</f>
        <v>Activations</v>
      </c>
      <c r="G357" s="145" t="n">
        <f aca="false">INDEX('W Programs'!$F$7:$H$7,1,D357)*INDEX('W Assumptions'!$D$7:$F$7,1,D357)*'W Assumptions'!F96/SUM('W Assumptions'!F$95:F$106)</f>
        <v>1.125</v>
      </c>
      <c r="H357" s="81" t="n">
        <f aca="false">G357*INDEX('W Programs'!$I$7:$K$7,1,D357)*INDEX('W Assumptions'!$D$12:$F$12,1,D357)</f>
        <v>95625</v>
      </c>
      <c r="I357" s="81" t="n">
        <f aca="false">H357*CHOOSE(D357,'W Programs'!L7,'W Programs'!Q7,'W Programs'!R7)*INDEX('W Assumptions'!$D$17:$F$17,1,D357)</f>
        <v>47812.5</v>
      </c>
      <c r="J357" s="81" t="n">
        <f aca="false">H357*'W Programs'!$M$7*'W Programs'!$O$7</f>
        <v>0</v>
      </c>
      <c r="K357" s="149" t="n">
        <f aca="false">'W Programs'!$N$7</f>
        <v>0.3</v>
      </c>
      <c r="L357" s="81" t="n">
        <f aca="false">H357*K357+H329*(1-K357)</f>
        <v>60187.5</v>
      </c>
      <c r="M357" s="81" t="n">
        <f aca="false">L357*'W Programs'!$M$7*'W Programs'!$O$7</f>
        <v>0</v>
      </c>
      <c r="N357" s="81" t="n">
        <f aca="false">I357*'W Assumptions'!$D$55+I343*(1-'W Assumptions'!$D$55)</f>
        <v>47812.5</v>
      </c>
      <c r="O357" s="81" t="n">
        <f aca="false">H357-I357-J357</f>
        <v>47812.5</v>
      </c>
    </row>
    <row r="358" customFormat="false" ht="21" hidden="false" customHeight="true" outlineLevel="0" collapsed="false">
      <c r="C358" s="144" t="n">
        <f aca="false">47027</f>
        <v>47027</v>
      </c>
      <c r="D358" s="81" t="n">
        <f aca="false">3</f>
        <v>3</v>
      </c>
      <c r="E358" s="81" t="str">
        <f aca="false">'W Programs'!C8</f>
        <v>TLI</v>
      </c>
      <c r="F358" s="81" t="str">
        <f aca="false">'W Programs'!D8</f>
        <v>Workshops</v>
      </c>
      <c r="G358" s="145" t="n">
        <f aca="false">INDEX('W Programs'!$F$8:$H$8,1,D358)*INDEX('W Assumptions'!$D$7:$F$7,1,D358)*'W Assumptions'!F96/SUM('W Assumptions'!F$95:F$106)</f>
        <v>9.75</v>
      </c>
      <c r="H358" s="81" t="n">
        <f aca="false">G358*INDEX('W Programs'!$I$8:$K$8,1,D358)*INDEX('W Assumptions'!$D$12:$F$12,1,D358)</f>
        <v>53625</v>
      </c>
      <c r="I358" s="81" t="n">
        <f aca="false">H358*CHOOSE(D358,'W Programs'!L8,'W Programs'!Q8,'W Programs'!R8)*INDEX('W Assumptions'!$D$17:$F$17,1,D358)</f>
        <v>21450</v>
      </c>
      <c r="J358" s="81" t="n">
        <f aca="false">H358*'W Programs'!$M$8*'W Programs'!$O$8</f>
        <v>0</v>
      </c>
      <c r="K358" s="149" t="n">
        <f aca="false">'W Programs'!$N$8</f>
        <v>0.7</v>
      </c>
      <c r="L358" s="81" t="n">
        <f aca="false">H358*K358+H330*(1-K358)</f>
        <v>45537.5</v>
      </c>
      <c r="M358" s="81" t="n">
        <f aca="false">L358*'W Programs'!$M$8*'W Programs'!$O$8</f>
        <v>0</v>
      </c>
      <c r="N358" s="81" t="n">
        <f aca="false">I358*'W Assumptions'!$D$55+I344*(1-'W Assumptions'!$D$55)</f>
        <v>21450</v>
      </c>
      <c r="O358" s="81" t="n">
        <f aca="false">H358-I358-J358</f>
        <v>32175</v>
      </c>
    </row>
    <row r="359" customFormat="false" ht="21" hidden="false" customHeight="true" outlineLevel="0" collapsed="false">
      <c r="C359" s="144" t="n">
        <f aca="false">47027</f>
        <v>47027</v>
      </c>
      <c r="D359" s="81" t="n">
        <f aca="false">3</f>
        <v>3</v>
      </c>
      <c r="E359" s="81" t="str">
        <f aca="false">'W Programs'!C9</f>
        <v>TLI</v>
      </c>
      <c r="F359" s="81" t="str">
        <f aca="false">'W Programs'!D9</f>
        <v>Installations</v>
      </c>
      <c r="G359" s="145" t="n">
        <f aca="false">INDEX('W Programs'!$F$9:$H$9,1,D359)*INDEX('W Assumptions'!$D$7:$F$7,1,D359)*'W Assumptions'!F96/SUM('W Assumptions'!F$95:F$106)</f>
        <v>0.1875</v>
      </c>
      <c r="H359" s="81" t="n">
        <f aca="false">G359*INDEX('W Programs'!$I$9:$K$9,1,D359)*INDEX('W Assumptions'!$D$12:$F$12,1,D359)</f>
        <v>61875</v>
      </c>
      <c r="I359" s="81" t="n">
        <f aca="false">H359*CHOOSE(D359,'W Programs'!L9,'W Programs'!Q9,'W Programs'!R9)*INDEX('W Assumptions'!$D$17:$F$17,1,D359)</f>
        <v>35887.5</v>
      </c>
      <c r="J359" s="81" t="n">
        <f aca="false">H359*'W Programs'!$M$9*'W Programs'!$O$9</f>
        <v>0</v>
      </c>
      <c r="K359" s="149" t="n">
        <f aca="false">'W Programs'!$N$9</f>
        <v>0.3</v>
      </c>
      <c r="L359" s="81" t="n">
        <f aca="false">H359*K359+H331*(1-K359)</f>
        <v>39562.5</v>
      </c>
      <c r="M359" s="81" t="n">
        <f aca="false">L359*'W Programs'!$M$9*'W Programs'!$O$9</f>
        <v>0</v>
      </c>
      <c r="N359" s="81" t="n">
        <f aca="false">I359*'W Assumptions'!$D$55+I345*(1-'W Assumptions'!$D$55)</f>
        <v>35887.5</v>
      </c>
      <c r="O359" s="81" t="n">
        <f aca="false">H359-I359-J359</f>
        <v>25987.5</v>
      </c>
    </row>
    <row r="360" customFormat="false" ht="21" hidden="false" customHeight="true" outlineLevel="0" collapsed="false">
      <c r="C360" s="144" t="n">
        <f aca="false">47027</f>
        <v>47027</v>
      </c>
      <c r="D360" s="81" t="n">
        <f aca="false">3</f>
        <v>3</v>
      </c>
      <c r="E360" s="81" t="str">
        <f aca="false">'W Programs'!C10</f>
        <v>TLI</v>
      </c>
      <c r="F360" s="81" t="str">
        <f aca="false">'W Programs'!D10</f>
        <v>Digital</v>
      </c>
      <c r="G360" s="145" t="n">
        <f aca="false">INDEX('W Programs'!$F$10:$H$10,1,D360)*INDEX('W Assumptions'!$D$7:$F$7,1,D360)*'W Assumptions'!F96/SUM('W Assumptions'!F$95:F$106)</f>
        <v>150</v>
      </c>
      <c r="H360" s="81" t="n">
        <f aca="false">G360*INDEX('W Programs'!$I$10:$K$10,1,D360)*INDEX('W Assumptions'!$D$12:$F$12,1,D360)</f>
        <v>56250</v>
      </c>
      <c r="I360" s="81" t="n">
        <f aca="false">H360*CHOOSE(D360,'W Programs'!L10,'W Programs'!Q10,'W Programs'!R10)*INDEX('W Assumptions'!$D$17:$F$17,1,D360)</f>
        <v>9000</v>
      </c>
      <c r="J360" s="81" t="n">
        <f aca="false">H360*'W Programs'!$M$10*'W Programs'!$O$10</f>
        <v>0</v>
      </c>
      <c r="K360" s="149" t="n">
        <f aca="false">'W Programs'!$N$10</f>
        <v>1</v>
      </c>
      <c r="L360" s="81" t="n">
        <f aca="false">H360*K360+H332*(1-K360)</f>
        <v>56250</v>
      </c>
      <c r="M360" s="81" t="n">
        <f aca="false">L360*'W Programs'!$M$10*'W Programs'!$O$10</f>
        <v>0</v>
      </c>
      <c r="N360" s="81" t="n">
        <f aca="false">I360*'W Assumptions'!$D$55+I346*(1-'W Assumptions'!$D$55)</f>
        <v>9000</v>
      </c>
      <c r="O360" s="81" t="n">
        <f aca="false">H360-I360-J360</f>
        <v>47250</v>
      </c>
    </row>
    <row r="361" customFormat="false" ht="21" hidden="false" customHeight="true" outlineLevel="0" collapsed="false">
      <c r="C361" s="144" t="n">
        <f aca="false">47027</f>
        <v>47027</v>
      </c>
      <c r="D361" s="81" t="n">
        <f aca="false">3</f>
        <v>3</v>
      </c>
      <c r="E361" s="81" t="str">
        <f aca="false">'W Programs'!C11</f>
        <v>TLI</v>
      </c>
      <c r="F361" s="81" t="str">
        <f aca="false">'W Programs'!D11</f>
        <v>Retail</v>
      </c>
      <c r="G361" s="145" t="n">
        <f aca="false">INDEX('W Programs'!$F$11:$H$11,1,D361)*INDEX('W Assumptions'!$D$7:$F$7,1,D361)*'W Assumptions'!F96/SUM('W Assumptions'!F$95:F$106)</f>
        <v>337.5</v>
      </c>
      <c r="H361" s="81" t="n">
        <f aca="false">G361*INDEX('W Programs'!$I$11:$K$11,1,D361)*INDEX('W Assumptions'!$D$12:$F$12,1,D361)</f>
        <v>87750</v>
      </c>
      <c r="I361" s="81" t="n">
        <f aca="false">H361*CHOOSE(D361,'W Programs'!L11,'W Programs'!Q11,'W Programs'!R11)*INDEX('W Assumptions'!$D$17:$F$17,1,D361)</f>
        <v>42120</v>
      </c>
      <c r="J361" s="81" t="n">
        <f aca="false">H361*'W Programs'!$M$11*'W Programs'!$O$11</f>
        <v>0</v>
      </c>
      <c r="K361" s="149" t="n">
        <f aca="false">'W Programs'!$N$11</f>
        <v>1</v>
      </c>
      <c r="L361" s="81" t="n">
        <f aca="false">H361*K361+H333*(1-K361)</f>
        <v>87750</v>
      </c>
      <c r="M361" s="81" t="n">
        <f aca="false">L361*'W Programs'!$M$11*'W Programs'!$O$11</f>
        <v>0</v>
      </c>
      <c r="N361" s="81" t="n">
        <f aca="false">I361*'W Assumptions'!$D$55+I347*(1-'W Assumptions'!$D$55)</f>
        <v>42120</v>
      </c>
      <c r="O361" s="81" t="n">
        <f aca="false">H361-I361-J361</f>
        <v>45630</v>
      </c>
    </row>
    <row r="362" customFormat="false" ht="21" hidden="false" customHeight="true" outlineLevel="0" collapsed="false">
      <c r="C362" s="144" t="n">
        <f aca="false">47027</f>
        <v>47027</v>
      </c>
      <c r="D362" s="81" t="n">
        <f aca="false">3</f>
        <v>3</v>
      </c>
      <c r="E362" s="81" t="str">
        <f aca="false">'W Programs'!C12</f>
        <v>TLI</v>
      </c>
      <c r="F362" s="81" t="str">
        <f aca="false">'W Programs'!D12</f>
        <v>Licensing</v>
      </c>
      <c r="G362" s="145" t="n">
        <f aca="false">INDEX('W Programs'!$F$12:$H$12,1,D362)*INDEX('W Assumptions'!$D$7:$F$7,1,D362)*'W Assumptions'!F96/SUM('W Assumptions'!F$95:F$106)</f>
        <v>0.0375</v>
      </c>
      <c r="H362" s="81" t="n">
        <f aca="false">G362*INDEX('W Programs'!$I$12:$K$12,1,D362)*INDEX('W Assumptions'!$D$12:$F$12,1,D362)</f>
        <v>30000</v>
      </c>
      <c r="I362" s="81" t="n">
        <f aca="false">H362*CHOOSE(D362,'W Programs'!L12,'W Programs'!Q12,'W Programs'!R12)*INDEX('W Assumptions'!$D$17:$F$17,1,D362)</f>
        <v>3000</v>
      </c>
      <c r="J362" s="81" t="n">
        <f aca="false">H362*'W Programs'!$M$12*'W Programs'!$O$12</f>
        <v>0</v>
      </c>
      <c r="K362" s="149" t="n">
        <f aca="false">'W Programs'!$N$12</f>
        <v>0.3</v>
      </c>
      <c r="L362" s="81" t="n">
        <f aca="false">H362*K362+H334*(1-K362)</f>
        <v>16000</v>
      </c>
      <c r="M362" s="81" t="n">
        <f aca="false">L362*'W Programs'!$M$12*'W Programs'!$O$12</f>
        <v>0</v>
      </c>
      <c r="N362" s="81" t="n">
        <f aca="false">I362*'W Assumptions'!$D$55+I348*(1-'W Assumptions'!$D$55)</f>
        <v>3000</v>
      </c>
      <c r="O362" s="81" t="n">
        <f aca="false">H362-I362-J362</f>
        <v>27000</v>
      </c>
    </row>
    <row r="363" customFormat="false" ht="21" hidden="false" customHeight="true" outlineLevel="0" collapsed="false">
      <c r="C363" s="144" t="n">
        <f aca="false">47027</f>
        <v>47027</v>
      </c>
      <c r="D363" s="81" t="n">
        <f aca="false">3</f>
        <v>3</v>
      </c>
      <c r="E363" s="81" t="str">
        <f aca="false">'W Programs'!C13</f>
        <v>WOO IP</v>
      </c>
      <c r="F363" s="81" t="str">
        <f aca="false">'W Programs'!D13</f>
        <v>Schools</v>
      </c>
      <c r="G363" s="145" t="n">
        <f aca="false">INDEX('W Programs'!$F$13:$H$13,1,D363)*INDEX('W Assumptions'!$D$7:$F$7,1,D363)*'W Assumptions'!F96/SUM('W Assumptions'!F$95:F$106)</f>
        <v>1.14583333333333</v>
      </c>
      <c r="H363" s="81" t="n">
        <f aca="false">G363*INDEX('W Programs'!$I$13:$K$13,1,D363)*INDEX('W Assumptions'!$D$12:$F$12,1,D363)</f>
        <v>217708.333333333</v>
      </c>
      <c r="I363" s="81" t="n">
        <f aca="false">H363*CHOOSE(D363,'W Programs'!L13,'W Programs'!Q13,'W Programs'!R13)*INDEX('W Assumptions'!$D$17:$F$17,1,D363)</f>
        <v>82729.1666666667</v>
      </c>
      <c r="J363" s="81" t="n">
        <f aca="false">H363*'W Programs'!$M$13*'W Programs'!$O$13</f>
        <v>0</v>
      </c>
      <c r="K363" s="149" t="n">
        <f aca="false">'W Programs'!$N$13</f>
        <v>0.3</v>
      </c>
      <c r="L363" s="81" t="n">
        <f aca="false">H363*K363+H335*(1-K363)</f>
        <v>148612.5</v>
      </c>
      <c r="M363" s="81" t="n">
        <f aca="false">L363*'W Programs'!$M$13*'W Programs'!$O$13</f>
        <v>0</v>
      </c>
      <c r="N363" s="81" t="n">
        <f aca="false">I363*'W Assumptions'!$D$55+I349*(1-'W Assumptions'!$D$55)</f>
        <v>82729.1666666667</v>
      </c>
      <c r="O363" s="81" t="n">
        <f aca="false">H363-I363-J363</f>
        <v>134979.166666667</v>
      </c>
    </row>
    <row r="364" customFormat="false" ht="21" hidden="false" customHeight="true" outlineLevel="0" collapsed="false">
      <c r="C364" s="144" t="n">
        <f aca="false">47027</f>
        <v>47027</v>
      </c>
      <c r="D364" s="81" t="n">
        <f aca="false">3</f>
        <v>3</v>
      </c>
      <c r="E364" s="81" t="str">
        <f aca="false">'W Programs'!C14</f>
        <v>WOO IP</v>
      </c>
      <c r="F364" s="81" t="str">
        <f aca="false">'W Programs'!D14</f>
        <v>Activations</v>
      </c>
      <c r="G364" s="145" t="n">
        <f aca="false">INDEX('W Programs'!$F$14:$H$14,1,D364)*INDEX('W Assumptions'!$D$7:$F$7,1,D364)*'W Assumptions'!F96/SUM('W Assumptions'!F$95:F$106)</f>
        <v>1.375</v>
      </c>
      <c r="H364" s="81" t="n">
        <f aca="false">G364*INDEX('W Programs'!$I$14:$K$14,1,D364)*INDEX('W Assumptions'!$D$12:$F$12,1,D364)</f>
        <v>116875</v>
      </c>
      <c r="I364" s="81" t="n">
        <f aca="false">H364*CHOOSE(D364,'W Programs'!L14,'W Programs'!Q14,'W Programs'!R14)*INDEX('W Assumptions'!$D$17:$F$17,1,D364)</f>
        <v>58437.5</v>
      </c>
      <c r="J364" s="81" t="n">
        <f aca="false">H364*'W Programs'!$M$14*'W Programs'!$O$14</f>
        <v>0</v>
      </c>
      <c r="K364" s="149" t="n">
        <f aca="false">'W Programs'!$N$14</f>
        <v>0.3</v>
      </c>
      <c r="L364" s="81" t="n">
        <f aca="false">H364*K364+H336*(1-K364)</f>
        <v>82312.5</v>
      </c>
      <c r="M364" s="81" t="n">
        <f aca="false">L364*'W Programs'!$M$14*'W Programs'!$O$14</f>
        <v>0</v>
      </c>
      <c r="N364" s="81" t="n">
        <f aca="false">I364*'W Assumptions'!$D$55+I350*(1-'W Assumptions'!$D$55)</f>
        <v>58437.5</v>
      </c>
      <c r="O364" s="81" t="n">
        <f aca="false">H364-I364-J364</f>
        <v>58437.5</v>
      </c>
    </row>
    <row r="365" customFormat="false" ht="21" hidden="false" customHeight="true" outlineLevel="0" collapsed="false">
      <c r="C365" s="144" t="n">
        <f aca="false">47027</f>
        <v>47027</v>
      </c>
      <c r="D365" s="81" t="n">
        <f aca="false">3</f>
        <v>3</v>
      </c>
      <c r="E365" s="81" t="str">
        <f aca="false">'W Programs'!C15</f>
        <v>WOO IP</v>
      </c>
      <c r="F365" s="81" t="str">
        <f aca="false">'W Programs'!D15</f>
        <v>Workshops</v>
      </c>
      <c r="G365" s="145" t="n">
        <f aca="false">INDEX('W Programs'!$F$15:$H$15,1,D365)*INDEX('W Assumptions'!$D$7:$F$7,1,D365)*'W Assumptions'!F96/SUM('W Assumptions'!F$95:F$106)</f>
        <v>11.9166666666667</v>
      </c>
      <c r="H365" s="81" t="n">
        <f aca="false">G365*INDEX('W Programs'!$I$15:$K$15,1,D365)*INDEX('W Assumptions'!$D$12:$F$12,1,D365)</f>
        <v>65541.6666666667</v>
      </c>
      <c r="I365" s="81" t="n">
        <f aca="false">H365*CHOOSE(D365,'W Programs'!L15,'W Programs'!Q15,'W Programs'!R15)*INDEX('W Assumptions'!$D$17:$F$17,1,D365)</f>
        <v>26216.6666666667</v>
      </c>
      <c r="J365" s="81" t="n">
        <f aca="false">H365*'W Programs'!$M$15*'W Programs'!$O$15</f>
        <v>0</v>
      </c>
      <c r="K365" s="149" t="n">
        <f aca="false">'W Programs'!$N$15</f>
        <v>0.7</v>
      </c>
      <c r="L365" s="81" t="n">
        <f aca="false">H365*K365+H337*(1-K365)</f>
        <v>57879.1666666667</v>
      </c>
      <c r="M365" s="81" t="n">
        <f aca="false">L365*'W Programs'!$M$15*'W Programs'!$O$15</f>
        <v>0</v>
      </c>
      <c r="N365" s="81" t="n">
        <f aca="false">I365*'W Assumptions'!$D$55+I351*(1-'W Assumptions'!$D$55)</f>
        <v>26216.6666666667</v>
      </c>
      <c r="O365" s="81" t="n">
        <f aca="false">H365-I365-J365</f>
        <v>39325</v>
      </c>
    </row>
    <row r="366" customFormat="false" ht="21" hidden="false" customHeight="true" outlineLevel="0" collapsed="false">
      <c r="C366" s="144" t="n">
        <f aca="false">47027</f>
        <v>47027</v>
      </c>
      <c r="D366" s="81" t="n">
        <f aca="false">3</f>
        <v>3</v>
      </c>
      <c r="E366" s="81" t="str">
        <f aca="false">'W Programs'!C16</f>
        <v>WOO IP</v>
      </c>
      <c r="F366" s="81" t="str">
        <f aca="false">'W Programs'!D16</f>
        <v>Installations</v>
      </c>
      <c r="G366" s="145" t="n">
        <f aca="false">INDEX('W Programs'!$F$16:$H$16,1,D366)*INDEX('W Assumptions'!$D$7:$F$7,1,D366)*'W Assumptions'!F96/SUM('W Assumptions'!F$95:F$106)</f>
        <v>0.229166666666667</v>
      </c>
      <c r="H366" s="81" t="n">
        <f aca="false">G366*INDEX('W Programs'!$I$16:$K$16,1,D366)*INDEX('W Assumptions'!$D$12:$F$12,1,D366)</f>
        <v>75625</v>
      </c>
      <c r="I366" s="81" t="n">
        <f aca="false">H366*CHOOSE(D366,'W Programs'!L16,'W Programs'!Q16,'W Programs'!R16)*INDEX('W Assumptions'!$D$17:$F$17,1,D366)</f>
        <v>43862.5</v>
      </c>
      <c r="J366" s="81" t="n">
        <f aca="false">H366*'W Programs'!$M$16*'W Programs'!$O$16</f>
        <v>0</v>
      </c>
      <c r="K366" s="149" t="n">
        <f aca="false">'W Programs'!$N$16</f>
        <v>0.3</v>
      </c>
      <c r="L366" s="81" t="n">
        <f aca="false">H366*K366+H338*(1-K366)</f>
        <v>54187.5</v>
      </c>
      <c r="M366" s="81" t="n">
        <f aca="false">L366*'W Programs'!$M$16*'W Programs'!$O$16</f>
        <v>0</v>
      </c>
      <c r="N366" s="81" t="n">
        <f aca="false">I366*'W Assumptions'!$D$55+I352*(1-'W Assumptions'!$D$55)</f>
        <v>43862.5</v>
      </c>
      <c r="O366" s="81" t="n">
        <f aca="false">H366-I366-J366</f>
        <v>31762.5</v>
      </c>
    </row>
    <row r="367" customFormat="false" ht="21" hidden="false" customHeight="true" outlineLevel="0" collapsed="false">
      <c r="C367" s="144" t="n">
        <f aca="false">47027</f>
        <v>47027</v>
      </c>
      <c r="D367" s="81" t="n">
        <f aca="false">3</f>
        <v>3</v>
      </c>
      <c r="E367" s="81" t="str">
        <f aca="false">'W Programs'!C17</f>
        <v>WOO IP</v>
      </c>
      <c r="F367" s="81" t="str">
        <f aca="false">'W Programs'!D17</f>
        <v>Digital</v>
      </c>
      <c r="G367" s="145" t="n">
        <f aca="false">INDEX('W Programs'!$F$17:$H$17,1,D367)*INDEX('W Assumptions'!$D$7:$F$7,1,D367)*'W Assumptions'!F96/SUM('W Assumptions'!F$95:F$106)</f>
        <v>183.333333333333</v>
      </c>
      <c r="H367" s="81" t="n">
        <f aca="false">G367*INDEX('W Programs'!$I$17:$K$17,1,D367)*INDEX('W Assumptions'!$D$12:$F$12,1,D367)</f>
        <v>68750</v>
      </c>
      <c r="I367" s="81" t="n">
        <f aca="false">H367*CHOOSE(D367,'W Programs'!L17,'W Programs'!Q17,'W Programs'!R17)*INDEX('W Assumptions'!$D$17:$F$17,1,D367)</f>
        <v>11000</v>
      </c>
      <c r="J367" s="81" t="n">
        <f aca="false">H367*'W Programs'!$M$17*'W Programs'!$O$17</f>
        <v>0</v>
      </c>
      <c r="K367" s="149" t="n">
        <f aca="false">'W Programs'!$N$17</f>
        <v>1</v>
      </c>
      <c r="L367" s="81" t="n">
        <f aca="false">H367*K367+H339*(1-K367)</f>
        <v>68750</v>
      </c>
      <c r="M367" s="81" t="n">
        <f aca="false">L367*'W Programs'!$M$17*'W Programs'!$O$17</f>
        <v>0</v>
      </c>
      <c r="N367" s="81" t="n">
        <f aca="false">I367*'W Assumptions'!$D$55+I353*(1-'W Assumptions'!$D$55)</f>
        <v>11000</v>
      </c>
      <c r="O367" s="81" t="n">
        <f aca="false">H367-I367-J367</f>
        <v>57750</v>
      </c>
    </row>
    <row r="368" customFormat="false" ht="21" hidden="false" customHeight="true" outlineLevel="0" collapsed="false">
      <c r="C368" s="144" t="n">
        <f aca="false">47027</f>
        <v>47027</v>
      </c>
      <c r="D368" s="81" t="n">
        <f aca="false">3</f>
        <v>3</v>
      </c>
      <c r="E368" s="81" t="str">
        <f aca="false">'W Programs'!C18</f>
        <v>WOO IP</v>
      </c>
      <c r="F368" s="81" t="str">
        <f aca="false">'W Programs'!D18</f>
        <v>Retail</v>
      </c>
      <c r="G368" s="145" t="n">
        <f aca="false">INDEX('W Programs'!$F$18:$H$18,1,D368)*INDEX('W Assumptions'!$D$7:$F$7,1,D368)*'W Assumptions'!F96/SUM('W Assumptions'!F$95:F$106)</f>
        <v>412.5</v>
      </c>
      <c r="H368" s="81" t="n">
        <f aca="false">G368*INDEX('W Programs'!$I$18:$K$18,1,D368)*INDEX('W Assumptions'!$D$12:$F$12,1,D368)</f>
        <v>107250</v>
      </c>
      <c r="I368" s="81" t="n">
        <f aca="false">H368*CHOOSE(D368,'W Programs'!L18,'W Programs'!Q18,'W Programs'!R18)*INDEX('W Assumptions'!$D$17:$F$17,1,D368)</f>
        <v>51480</v>
      </c>
      <c r="J368" s="81" t="n">
        <f aca="false">H368*'W Programs'!$M$18*'W Programs'!$O$18</f>
        <v>0</v>
      </c>
      <c r="K368" s="149" t="n">
        <f aca="false">'W Programs'!$N$18</f>
        <v>1</v>
      </c>
      <c r="L368" s="81" t="n">
        <f aca="false">H368*K368+H340*(1-K368)</f>
        <v>107250</v>
      </c>
      <c r="M368" s="81" t="n">
        <f aca="false">L368*'W Programs'!$M$18*'W Programs'!$O$18</f>
        <v>0</v>
      </c>
      <c r="N368" s="81" t="n">
        <f aca="false">I368*'W Assumptions'!$D$55+I354*(1-'W Assumptions'!$D$55)</f>
        <v>51480</v>
      </c>
      <c r="O368" s="81" t="n">
        <f aca="false">H368-I368-J368</f>
        <v>55770</v>
      </c>
    </row>
    <row r="369" customFormat="false" ht="21" hidden="false" customHeight="true" outlineLevel="0" collapsed="false">
      <c r="C369" s="144" t="n">
        <f aca="false">47027</f>
        <v>47027</v>
      </c>
      <c r="D369" s="81" t="n">
        <f aca="false">3</f>
        <v>3</v>
      </c>
      <c r="E369" s="81" t="str">
        <f aca="false">'W Programs'!C19</f>
        <v>WOO IP</v>
      </c>
      <c r="F369" s="81" t="str">
        <f aca="false">'W Programs'!D19</f>
        <v>Licensing</v>
      </c>
      <c r="G369" s="145" t="n">
        <f aca="false">INDEX('W Programs'!$F$19:$H$19,1,D369)*INDEX('W Assumptions'!$D$7:$F$7,1,D369)*'W Assumptions'!F96/SUM('W Assumptions'!F$95:F$106)</f>
        <v>0.0458333333333333</v>
      </c>
      <c r="H369" s="81" t="n">
        <f aca="false">G369*INDEX('W Programs'!$I$19:$K$19,1,D369)*INDEX('W Assumptions'!$D$12:$F$12,1,D369)</f>
        <v>36666.6666666667</v>
      </c>
      <c r="I369" s="81" t="n">
        <f aca="false">H369*CHOOSE(D369,'W Programs'!L19,'W Programs'!Q19,'W Programs'!R19)*INDEX('W Assumptions'!$D$17:$F$17,1,D369)</f>
        <v>3666.66666666667</v>
      </c>
      <c r="J369" s="81" t="n">
        <f aca="false">H369*'W Programs'!$M$19*'W Programs'!$O$19</f>
        <v>0</v>
      </c>
      <c r="K369" s="149" t="n">
        <f aca="false">'W Programs'!$N$19</f>
        <v>0.3</v>
      </c>
      <c r="L369" s="81" t="n">
        <f aca="false">H369*K369+H341*(1-K369)</f>
        <v>21500</v>
      </c>
      <c r="M369" s="81" t="n">
        <f aca="false">L369*'W Programs'!$M$19*'W Programs'!$O$19</f>
        <v>0</v>
      </c>
      <c r="N369" s="81" t="n">
        <f aca="false">I369*'W Assumptions'!$D$55+I355*(1-'W Assumptions'!$D$55)</f>
        <v>3666.66666666667</v>
      </c>
      <c r="O369" s="81" t="n">
        <f aca="false">H369-I369-J369</f>
        <v>33000</v>
      </c>
    </row>
    <row r="370" customFormat="false" ht="21" hidden="false" customHeight="true" outlineLevel="0" collapsed="false">
      <c r="C370" s="144" t="n">
        <f aca="false">47058</f>
        <v>47058</v>
      </c>
      <c r="D370" s="81" t="n">
        <f aca="false">3</f>
        <v>3</v>
      </c>
      <c r="E370" s="81" t="str">
        <f aca="false">'W Programs'!C6</f>
        <v>TLI</v>
      </c>
      <c r="F370" s="81" t="str">
        <f aca="false">'W Programs'!D6</f>
        <v>Schools</v>
      </c>
      <c r="G370" s="145" t="n">
        <f aca="false">INDEX('W Programs'!$F$6:$H$6,1,D370)*INDEX('W Assumptions'!$D$7:$F$7,1,D370)*'W Assumptions'!F97/SUM('W Assumptions'!F$95:F$106)</f>
        <v>0.9375</v>
      </c>
      <c r="H370" s="81" t="n">
        <f aca="false">G370*INDEX('W Programs'!$I$6:$K$6,1,D370)*INDEX('W Assumptions'!$D$12:$F$12,1,D370)</f>
        <v>178125</v>
      </c>
      <c r="I370" s="81" t="n">
        <f aca="false">H370*CHOOSE(D370,'W Programs'!L6,'W Programs'!Q6,'W Programs'!R6)*INDEX('W Assumptions'!$D$17:$F$17,1,D370)</f>
        <v>67687.5</v>
      </c>
      <c r="J370" s="81" t="n">
        <f aca="false">H370*'W Programs'!$M$6*'W Programs'!$O$6</f>
        <v>0</v>
      </c>
      <c r="K370" s="149" t="n">
        <f aca="false">'W Programs'!$N$6</f>
        <v>0.3</v>
      </c>
      <c r="L370" s="81" t="n">
        <f aca="false">H370*K370+H342*(1-K370)</f>
        <v>178125</v>
      </c>
      <c r="M370" s="81" t="n">
        <f aca="false">L370*'W Programs'!$M$6*'W Programs'!$O$6</f>
        <v>0</v>
      </c>
      <c r="N370" s="81" t="n">
        <f aca="false">I370*'W Assumptions'!$D$55+I356*(1-'W Assumptions'!$D$55)</f>
        <v>67687.5</v>
      </c>
      <c r="O370" s="81" t="n">
        <f aca="false">H370-I370-J370</f>
        <v>110437.5</v>
      </c>
    </row>
    <row r="371" customFormat="false" ht="21" hidden="false" customHeight="true" outlineLevel="0" collapsed="false">
      <c r="C371" s="144" t="n">
        <f aca="false">47058</f>
        <v>47058</v>
      </c>
      <c r="D371" s="81" t="n">
        <f aca="false">3</f>
        <v>3</v>
      </c>
      <c r="E371" s="81" t="str">
        <f aca="false">'W Programs'!C7</f>
        <v>TLI</v>
      </c>
      <c r="F371" s="81" t="str">
        <f aca="false">'W Programs'!D7</f>
        <v>Activations</v>
      </c>
      <c r="G371" s="145" t="n">
        <f aca="false">INDEX('W Programs'!$F$7:$H$7,1,D371)*INDEX('W Assumptions'!$D$7:$F$7,1,D371)*'W Assumptions'!F97/SUM('W Assumptions'!F$95:F$106)</f>
        <v>1.125</v>
      </c>
      <c r="H371" s="81" t="n">
        <f aca="false">G371*INDEX('W Programs'!$I$7:$K$7,1,D371)*INDEX('W Assumptions'!$D$12:$F$12,1,D371)</f>
        <v>95625</v>
      </c>
      <c r="I371" s="81" t="n">
        <f aca="false">H371*CHOOSE(D371,'W Programs'!L7,'W Programs'!Q7,'W Programs'!R7)*INDEX('W Assumptions'!$D$17:$F$17,1,D371)</f>
        <v>47812.5</v>
      </c>
      <c r="J371" s="81" t="n">
        <f aca="false">H371*'W Programs'!$M$7*'W Programs'!$O$7</f>
        <v>0</v>
      </c>
      <c r="K371" s="149" t="n">
        <f aca="false">'W Programs'!$N$7</f>
        <v>0.3</v>
      </c>
      <c r="L371" s="81" t="n">
        <f aca="false">H371*K371+H343*(1-K371)</f>
        <v>95625</v>
      </c>
      <c r="M371" s="81" t="n">
        <f aca="false">L371*'W Programs'!$M$7*'W Programs'!$O$7</f>
        <v>0</v>
      </c>
      <c r="N371" s="81" t="n">
        <f aca="false">I371*'W Assumptions'!$D$55+I357*(1-'W Assumptions'!$D$55)</f>
        <v>47812.5</v>
      </c>
      <c r="O371" s="81" t="n">
        <f aca="false">H371-I371-J371</f>
        <v>47812.5</v>
      </c>
    </row>
    <row r="372" customFormat="false" ht="21" hidden="false" customHeight="true" outlineLevel="0" collapsed="false">
      <c r="C372" s="144" t="n">
        <f aca="false">47058</f>
        <v>47058</v>
      </c>
      <c r="D372" s="81" t="n">
        <f aca="false">3</f>
        <v>3</v>
      </c>
      <c r="E372" s="81" t="str">
        <f aca="false">'W Programs'!C8</f>
        <v>TLI</v>
      </c>
      <c r="F372" s="81" t="str">
        <f aca="false">'W Programs'!D8</f>
        <v>Workshops</v>
      </c>
      <c r="G372" s="145" t="n">
        <f aca="false">INDEX('W Programs'!$F$8:$H$8,1,D372)*INDEX('W Assumptions'!$D$7:$F$7,1,D372)*'W Assumptions'!F97/SUM('W Assumptions'!F$95:F$106)</f>
        <v>9.75</v>
      </c>
      <c r="H372" s="81" t="n">
        <f aca="false">G372*INDEX('W Programs'!$I$8:$K$8,1,D372)*INDEX('W Assumptions'!$D$12:$F$12,1,D372)</f>
        <v>53625</v>
      </c>
      <c r="I372" s="81" t="n">
        <f aca="false">H372*CHOOSE(D372,'W Programs'!L8,'W Programs'!Q8,'W Programs'!R8)*INDEX('W Assumptions'!$D$17:$F$17,1,D372)</f>
        <v>21450</v>
      </c>
      <c r="J372" s="81" t="n">
        <f aca="false">H372*'W Programs'!$M$8*'W Programs'!$O$8</f>
        <v>0</v>
      </c>
      <c r="K372" s="149" t="n">
        <f aca="false">'W Programs'!$N$8</f>
        <v>0.7</v>
      </c>
      <c r="L372" s="81" t="n">
        <f aca="false">H372*K372+H344*(1-K372)</f>
        <v>53625</v>
      </c>
      <c r="M372" s="81" t="n">
        <f aca="false">L372*'W Programs'!$M$8*'W Programs'!$O$8</f>
        <v>0</v>
      </c>
      <c r="N372" s="81" t="n">
        <f aca="false">I372*'W Assumptions'!$D$55+I358*(1-'W Assumptions'!$D$55)</f>
        <v>21450</v>
      </c>
      <c r="O372" s="81" t="n">
        <f aca="false">H372-I372-J372</f>
        <v>32175</v>
      </c>
    </row>
    <row r="373" customFormat="false" ht="21" hidden="false" customHeight="true" outlineLevel="0" collapsed="false">
      <c r="C373" s="144" t="n">
        <f aca="false">47058</f>
        <v>47058</v>
      </c>
      <c r="D373" s="81" t="n">
        <f aca="false">3</f>
        <v>3</v>
      </c>
      <c r="E373" s="81" t="str">
        <f aca="false">'W Programs'!C9</f>
        <v>TLI</v>
      </c>
      <c r="F373" s="81" t="str">
        <f aca="false">'W Programs'!D9</f>
        <v>Installations</v>
      </c>
      <c r="G373" s="145" t="n">
        <f aca="false">INDEX('W Programs'!$F$9:$H$9,1,D373)*INDEX('W Assumptions'!$D$7:$F$7,1,D373)*'W Assumptions'!F97/SUM('W Assumptions'!F$95:F$106)</f>
        <v>0.1875</v>
      </c>
      <c r="H373" s="81" t="n">
        <f aca="false">G373*INDEX('W Programs'!$I$9:$K$9,1,D373)*INDEX('W Assumptions'!$D$12:$F$12,1,D373)</f>
        <v>61875</v>
      </c>
      <c r="I373" s="81" t="n">
        <f aca="false">H373*CHOOSE(D373,'W Programs'!L9,'W Programs'!Q9,'W Programs'!R9)*INDEX('W Assumptions'!$D$17:$F$17,1,D373)</f>
        <v>35887.5</v>
      </c>
      <c r="J373" s="81" t="n">
        <f aca="false">H373*'W Programs'!$M$9*'W Programs'!$O$9</f>
        <v>0</v>
      </c>
      <c r="K373" s="149" t="n">
        <f aca="false">'W Programs'!$N$9</f>
        <v>0.3</v>
      </c>
      <c r="L373" s="81" t="n">
        <f aca="false">H373*K373+H345*(1-K373)</f>
        <v>61875</v>
      </c>
      <c r="M373" s="81" t="n">
        <f aca="false">L373*'W Programs'!$M$9*'W Programs'!$O$9</f>
        <v>0</v>
      </c>
      <c r="N373" s="81" t="n">
        <f aca="false">I373*'W Assumptions'!$D$55+I359*(1-'W Assumptions'!$D$55)</f>
        <v>35887.5</v>
      </c>
      <c r="O373" s="81" t="n">
        <f aca="false">H373-I373-J373</f>
        <v>25987.5</v>
      </c>
    </row>
    <row r="374" customFormat="false" ht="21" hidden="false" customHeight="true" outlineLevel="0" collapsed="false">
      <c r="C374" s="144" t="n">
        <f aca="false">47058</f>
        <v>47058</v>
      </c>
      <c r="D374" s="81" t="n">
        <f aca="false">3</f>
        <v>3</v>
      </c>
      <c r="E374" s="81" t="str">
        <f aca="false">'W Programs'!C10</f>
        <v>TLI</v>
      </c>
      <c r="F374" s="81" t="str">
        <f aca="false">'W Programs'!D10</f>
        <v>Digital</v>
      </c>
      <c r="G374" s="145" t="n">
        <f aca="false">INDEX('W Programs'!$F$10:$H$10,1,D374)*INDEX('W Assumptions'!$D$7:$F$7,1,D374)*'W Assumptions'!F97/SUM('W Assumptions'!F$95:F$106)</f>
        <v>150</v>
      </c>
      <c r="H374" s="81" t="n">
        <f aca="false">G374*INDEX('W Programs'!$I$10:$K$10,1,D374)*INDEX('W Assumptions'!$D$12:$F$12,1,D374)</f>
        <v>56250</v>
      </c>
      <c r="I374" s="81" t="n">
        <f aca="false">H374*CHOOSE(D374,'W Programs'!L10,'W Programs'!Q10,'W Programs'!R10)*INDEX('W Assumptions'!$D$17:$F$17,1,D374)</f>
        <v>9000</v>
      </c>
      <c r="J374" s="81" t="n">
        <f aca="false">H374*'W Programs'!$M$10*'W Programs'!$O$10</f>
        <v>0</v>
      </c>
      <c r="K374" s="149" t="n">
        <f aca="false">'W Programs'!$N$10</f>
        <v>1</v>
      </c>
      <c r="L374" s="81" t="n">
        <f aca="false">H374*K374+H346*(1-K374)</f>
        <v>56250</v>
      </c>
      <c r="M374" s="81" t="n">
        <f aca="false">L374*'W Programs'!$M$10*'W Programs'!$O$10</f>
        <v>0</v>
      </c>
      <c r="N374" s="81" t="n">
        <f aca="false">I374*'W Assumptions'!$D$55+I360*(1-'W Assumptions'!$D$55)</f>
        <v>9000</v>
      </c>
      <c r="O374" s="81" t="n">
        <f aca="false">H374-I374-J374</f>
        <v>47250</v>
      </c>
    </row>
    <row r="375" customFormat="false" ht="21" hidden="false" customHeight="true" outlineLevel="0" collapsed="false">
      <c r="C375" s="144" t="n">
        <f aca="false">47058</f>
        <v>47058</v>
      </c>
      <c r="D375" s="81" t="n">
        <f aca="false">3</f>
        <v>3</v>
      </c>
      <c r="E375" s="81" t="str">
        <f aca="false">'W Programs'!C11</f>
        <v>TLI</v>
      </c>
      <c r="F375" s="81" t="str">
        <f aca="false">'W Programs'!D11</f>
        <v>Retail</v>
      </c>
      <c r="G375" s="145" t="n">
        <f aca="false">INDEX('W Programs'!$F$11:$H$11,1,D375)*INDEX('W Assumptions'!$D$7:$F$7,1,D375)*'W Assumptions'!F97/SUM('W Assumptions'!F$95:F$106)</f>
        <v>337.5</v>
      </c>
      <c r="H375" s="81" t="n">
        <f aca="false">G375*INDEX('W Programs'!$I$11:$K$11,1,D375)*INDEX('W Assumptions'!$D$12:$F$12,1,D375)</f>
        <v>87750</v>
      </c>
      <c r="I375" s="81" t="n">
        <f aca="false">H375*CHOOSE(D375,'W Programs'!L11,'W Programs'!Q11,'W Programs'!R11)*INDEX('W Assumptions'!$D$17:$F$17,1,D375)</f>
        <v>42120</v>
      </c>
      <c r="J375" s="81" t="n">
        <f aca="false">H375*'W Programs'!$M$11*'W Programs'!$O$11</f>
        <v>0</v>
      </c>
      <c r="K375" s="149" t="n">
        <f aca="false">'W Programs'!$N$11</f>
        <v>1</v>
      </c>
      <c r="L375" s="81" t="n">
        <f aca="false">H375*K375+H347*(1-K375)</f>
        <v>87750</v>
      </c>
      <c r="M375" s="81" t="n">
        <f aca="false">L375*'W Programs'!$M$11*'W Programs'!$O$11</f>
        <v>0</v>
      </c>
      <c r="N375" s="81" t="n">
        <f aca="false">I375*'W Assumptions'!$D$55+I361*(1-'W Assumptions'!$D$55)</f>
        <v>42120</v>
      </c>
      <c r="O375" s="81" t="n">
        <f aca="false">H375-I375-J375</f>
        <v>45630</v>
      </c>
    </row>
    <row r="376" customFormat="false" ht="21" hidden="false" customHeight="true" outlineLevel="0" collapsed="false">
      <c r="C376" s="144" t="n">
        <f aca="false">47058</f>
        <v>47058</v>
      </c>
      <c r="D376" s="81" t="n">
        <f aca="false">3</f>
        <v>3</v>
      </c>
      <c r="E376" s="81" t="str">
        <f aca="false">'W Programs'!C12</f>
        <v>TLI</v>
      </c>
      <c r="F376" s="81" t="str">
        <f aca="false">'W Programs'!D12</f>
        <v>Licensing</v>
      </c>
      <c r="G376" s="145" t="n">
        <f aca="false">INDEX('W Programs'!$F$12:$H$12,1,D376)*INDEX('W Assumptions'!$D$7:$F$7,1,D376)*'W Assumptions'!F97/SUM('W Assumptions'!F$95:F$106)</f>
        <v>0.0375</v>
      </c>
      <c r="H376" s="81" t="n">
        <f aca="false">G376*INDEX('W Programs'!$I$12:$K$12,1,D376)*INDEX('W Assumptions'!$D$12:$F$12,1,D376)</f>
        <v>30000</v>
      </c>
      <c r="I376" s="81" t="n">
        <f aca="false">H376*CHOOSE(D376,'W Programs'!L12,'W Programs'!Q12,'W Programs'!R12)*INDEX('W Assumptions'!$D$17:$F$17,1,D376)</f>
        <v>3000</v>
      </c>
      <c r="J376" s="81" t="n">
        <f aca="false">H376*'W Programs'!$M$12*'W Programs'!$O$12</f>
        <v>0</v>
      </c>
      <c r="K376" s="149" t="n">
        <f aca="false">'W Programs'!$N$12</f>
        <v>0.3</v>
      </c>
      <c r="L376" s="81" t="n">
        <f aca="false">H376*K376+H348*(1-K376)</f>
        <v>30000</v>
      </c>
      <c r="M376" s="81" t="n">
        <f aca="false">L376*'W Programs'!$M$12*'W Programs'!$O$12</f>
        <v>0</v>
      </c>
      <c r="N376" s="81" t="n">
        <f aca="false">I376*'W Assumptions'!$D$55+I362*(1-'W Assumptions'!$D$55)</f>
        <v>3000</v>
      </c>
      <c r="O376" s="81" t="n">
        <f aca="false">H376-I376-J376</f>
        <v>27000</v>
      </c>
    </row>
    <row r="377" customFormat="false" ht="21" hidden="false" customHeight="true" outlineLevel="0" collapsed="false">
      <c r="C377" s="144" t="n">
        <f aca="false">47058</f>
        <v>47058</v>
      </c>
      <c r="D377" s="81" t="n">
        <f aca="false">3</f>
        <v>3</v>
      </c>
      <c r="E377" s="81" t="str">
        <f aca="false">'W Programs'!C13</f>
        <v>WOO IP</v>
      </c>
      <c r="F377" s="81" t="str">
        <f aca="false">'W Programs'!D13</f>
        <v>Schools</v>
      </c>
      <c r="G377" s="145" t="n">
        <f aca="false">INDEX('W Programs'!$F$13:$H$13,1,D377)*INDEX('W Assumptions'!$D$7:$F$7,1,D377)*'W Assumptions'!F97/SUM('W Assumptions'!F$95:F$106)</f>
        <v>1.14583333333333</v>
      </c>
      <c r="H377" s="81" t="n">
        <f aca="false">G377*INDEX('W Programs'!$I$13:$K$13,1,D377)*INDEX('W Assumptions'!$D$12:$F$12,1,D377)</f>
        <v>217708.333333333</v>
      </c>
      <c r="I377" s="81" t="n">
        <f aca="false">H377*CHOOSE(D377,'W Programs'!L13,'W Programs'!Q13,'W Programs'!R13)*INDEX('W Assumptions'!$D$17:$F$17,1,D377)</f>
        <v>82729.1666666667</v>
      </c>
      <c r="J377" s="81" t="n">
        <f aca="false">H377*'W Programs'!$M$13*'W Programs'!$O$13</f>
        <v>0</v>
      </c>
      <c r="K377" s="149" t="n">
        <f aca="false">'W Programs'!$N$13</f>
        <v>0.3</v>
      </c>
      <c r="L377" s="81" t="n">
        <f aca="false">H377*K377+H349*(1-K377)</f>
        <v>217708.333333333</v>
      </c>
      <c r="M377" s="81" t="n">
        <f aca="false">L377*'W Programs'!$M$13*'W Programs'!$O$13</f>
        <v>0</v>
      </c>
      <c r="N377" s="81" t="n">
        <f aca="false">I377*'W Assumptions'!$D$55+I363*(1-'W Assumptions'!$D$55)</f>
        <v>82729.1666666667</v>
      </c>
      <c r="O377" s="81" t="n">
        <f aca="false">H377-I377-J377</f>
        <v>134979.166666667</v>
      </c>
    </row>
    <row r="378" customFormat="false" ht="21" hidden="false" customHeight="true" outlineLevel="0" collapsed="false">
      <c r="C378" s="144" t="n">
        <f aca="false">47058</f>
        <v>47058</v>
      </c>
      <c r="D378" s="81" t="n">
        <f aca="false">3</f>
        <v>3</v>
      </c>
      <c r="E378" s="81" t="str">
        <f aca="false">'W Programs'!C14</f>
        <v>WOO IP</v>
      </c>
      <c r="F378" s="81" t="str">
        <f aca="false">'W Programs'!D14</f>
        <v>Activations</v>
      </c>
      <c r="G378" s="145" t="n">
        <f aca="false">INDEX('W Programs'!$F$14:$H$14,1,D378)*INDEX('W Assumptions'!$D$7:$F$7,1,D378)*'W Assumptions'!F97/SUM('W Assumptions'!F$95:F$106)</f>
        <v>1.375</v>
      </c>
      <c r="H378" s="81" t="n">
        <f aca="false">G378*INDEX('W Programs'!$I$14:$K$14,1,D378)*INDEX('W Assumptions'!$D$12:$F$12,1,D378)</f>
        <v>116875</v>
      </c>
      <c r="I378" s="81" t="n">
        <f aca="false">H378*CHOOSE(D378,'W Programs'!L14,'W Programs'!Q14,'W Programs'!R14)*INDEX('W Assumptions'!$D$17:$F$17,1,D378)</f>
        <v>58437.5</v>
      </c>
      <c r="J378" s="81" t="n">
        <f aca="false">H378*'W Programs'!$M$14*'W Programs'!$O$14</f>
        <v>0</v>
      </c>
      <c r="K378" s="149" t="n">
        <f aca="false">'W Programs'!$N$14</f>
        <v>0.3</v>
      </c>
      <c r="L378" s="81" t="n">
        <f aca="false">H378*K378+H350*(1-K378)</f>
        <v>116875</v>
      </c>
      <c r="M378" s="81" t="n">
        <f aca="false">L378*'W Programs'!$M$14*'W Programs'!$O$14</f>
        <v>0</v>
      </c>
      <c r="N378" s="81" t="n">
        <f aca="false">I378*'W Assumptions'!$D$55+I364*(1-'W Assumptions'!$D$55)</f>
        <v>58437.5</v>
      </c>
      <c r="O378" s="81" t="n">
        <f aca="false">H378-I378-J378</f>
        <v>58437.5</v>
      </c>
    </row>
    <row r="379" customFormat="false" ht="21" hidden="false" customHeight="true" outlineLevel="0" collapsed="false">
      <c r="C379" s="144" t="n">
        <f aca="false">47058</f>
        <v>47058</v>
      </c>
      <c r="D379" s="81" t="n">
        <f aca="false">3</f>
        <v>3</v>
      </c>
      <c r="E379" s="81" t="str">
        <f aca="false">'W Programs'!C15</f>
        <v>WOO IP</v>
      </c>
      <c r="F379" s="81" t="str">
        <f aca="false">'W Programs'!D15</f>
        <v>Workshops</v>
      </c>
      <c r="G379" s="145" t="n">
        <f aca="false">INDEX('W Programs'!$F$15:$H$15,1,D379)*INDEX('W Assumptions'!$D$7:$F$7,1,D379)*'W Assumptions'!F97/SUM('W Assumptions'!F$95:F$106)</f>
        <v>11.9166666666667</v>
      </c>
      <c r="H379" s="81" t="n">
        <f aca="false">G379*INDEX('W Programs'!$I$15:$K$15,1,D379)*INDEX('W Assumptions'!$D$12:$F$12,1,D379)</f>
        <v>65541.6666666667</v>
      </c>
      <c r="I379" s="81" t="n">
        <f aca="false">H379*CHOOSE(D379,'W Programs'!L15,'W Programs'!Q15,'W Programs'!R15)*INDEX('W Assumptions'!$D$17:$F$17,1,D379)</f>
        <v>26216.6666666667</v>
      </c>
      <c r="J379" s="81" t="n">
        <f aca="false">H379*'W Programs'!$M$15*'W Programs'!$O$15</f>
        <v>0</v>
      </c>
      <c r="K379" s="149" t="n">
        <f aca="false">'W Programs'!$N$15</f>
        <v>0.7</v>
      </c>
      <c r="L379" s="81" t="n">
        <f aca="false">H379*K379+H351*(1-K379)</f>
        <v>65541.6666666667</v>
      </c>
      <c r="M379" s="81" t="n">
        <f aca="false">L379*'W Programs'!$M$15*'W Programs'!$O$15</f>
        <v>0</v>
      </c>
      <c r="N379" s="81" t="n">
        <f aca="false">I379*'W Assumptions'!$D$55+I365*(1-'W Assumptions'!$D$55)</f>
        <v>26216.6666666667</v>
      </c>
      <c r="O379" s="81" t="n">
        <f aca="false">H379-I379-J379</f>
        <v>39325</v>
      </c>
    </row>
    <row r="380" customFormat="false" ht="21" hidden="false" customHeight="true" outlineLevel="0" collapsed="false">
      <c r="C380" s="144" t="n">
        <f aca="false">47058</f>
        <v>47058</v>
      </c>
      <c r="D380" s="81" t="n">
        <f aca="false">3</f>
        <v>3</v>
      </c>
      <c r="E380" s="81" t="str">
        <f aca="false">'W Programs'!C16</f>
        <v>WOO IP</v>
      </c>
      <c r="F380" s="81" t="str">
        <f aca="false">'W Programs'!D16</f>
        <v>Installations</v>
      </c>
      <c r="G380" s="145" t="n">
        <f aca="false">INDEX('W Programs'!$F$16:$H$16,1,D380)*INDEX('W Assumptions'!$D$7:$F$7,1,D380)*'W Assumptions'!F97/SUM('W Assumptions'!F$95:F$106)</f>
        <v>0.229166666666667</v>
      </c>
      <c r="H380" s="81" t="n">
        <f aca="false">G380*INDEX('W Programs'!$I$16:$K$16,1,D380)*INDEX('W Assumptions'!$D$12:$F$12,1,D380)</f>
        <v>75625</v>
      </c>
      <c r="I380" s="81" t="n">
        <f aca="false">H380*CHOOSE(D380,'W Programs'!L16,'W Programs'!Q16,'W Programs'!R16)*INDEX('W Assumptions'!$D$17:$F$17,1,D380)</f>
        <v>43862.5</v>
      </c>
      <c r="J380" s="81" t="n">
        <f aca="false">H380*'W Programs'!$M$16*'W Programs'!$O$16</f>
        <v>0</v>
      </c>
      <c r="K380" s="149" t="n">
        <f aca="false">'W Programs'!$N$16</f>
        <v>0.3</v>
      </c>
      <c r="L380" s="81" t="n">
        <f aca="false">H380*K380+H352*(1-K380)</f>
        <v>75625</v>
      </c>
      <c r="M380" s="81" t="n">
        <f aca="false">L380*'W Programs'!$M$16*'W Programs'!$O$16</f>
        <v>0</v>
      </c>
      <c r="N380" s="81" t="n">
        <f aca="false">I380*'W Assumptions'!$D$55+I366*(1-'W Assumptions'!$D$55)</f>
        <v>43862.5</v>
      </c>
      <c r="O380" s="81" t="n">
        <f aca="false">H380-I380-J380</f>
        <v>31762.5</v>
      </c>
    </row>
    <row r="381" customFormat="false" ht="21" hidden="false" customHeight="true" outlineLevel="0" collapsed="false">
      <c r="C381" s="144" t="n">
        <f aca="false">47058</f>
        <v>47058</v>
      </c>
      <c r="D381" s="81" t="n">
        <f aca="false">3</f>
        <v>3</v>
      </c>
      <c r="E381" s="81" t="str">
        <f aca="false">'W Programs'!C17</f>
        <v>WOO IP</v>
      </c>
      <c r="F381" s="81" t="str">
        <f aca="false">'W Programs'!D17</f>
        <v>Digital</v>
      </c>
      <c r="G381" s="145" t="n">
        <f aca="false">INDEX('W Programs'!$F$17:$H$17,1,D381)*INDEX('W Assumptions'!$D$7:$F$7,1,D381)*'W Assumptions'!F97/SUM('W Assumptions'!F$95:F$106)</f>
        <v>183.333333333333</v>
      </c>
      <c r="H381" s="81" t="n">
        <f aca="false">G381*INDEX('W Programs'!$I$17:$K$17,1,D381)*INDEX('W Assumptions'!$D$12:$F$12,1,D381)</f>
        <v>68750</v>
      </c>
      <c r="I381" s="81" t="n">
        <f aca="false">H381*CHOOSE(D381,'W Programs'!L17,'W Programs'!Q17,'W Programs'!R17)*INDEX('W Assumptions'!$D$17:$F$17,1,D381)</f>
        <v>11000</v>
      </c>
      <c r="J381" s="81" t="n">
        <f aca="false">H381*'W Programs'!$M$17*'W Programs'!$O$17</f>
        <v>0</v>
      </c>
      <c r="K381" s="149" t="n">
        <f aca="false">'W Programs'!$N$17</f>
        <v>1</v>
      </c>
      <c r="L381" s="81" t="n">
        <f aca="false">H381*K381+H353*(1-K381)</f>
        <v>68750</v>
      </c>
      <c r="M381" s="81" t="n">
        <f aca="false">L381*'W Programs'!$M$17*'W Programs'!$O$17</f>
        <v>0</v>
      </c>
      <c r="N381" s="81" t="n">
        <f aca="false">I381*'W Assumptions'!$D$55+I367*(1-'W Assumptions'!$D$55)</f>
        <v>11000</v>
      </c>
      <c r="O381" s="81" t="n">
        <f aca="false">H381-I381-J381</f>
        <v>57750</v>
      </c>
    </row>
    <row r="382" customFormat="false" ht="21" hidden="false" customHeight="true" outlineLevel="0" collapsed="false">
      <c r="C382" s="144" t="n">
        <f aca="false">47058</f>
        <v>47058</v>
      </c>
      <c r="D382" s="81" t="n">
        <f aca="false">3</f>
        <v>3</v>
      </c>
      <c r="E382" s="81" t="str">
        <f aca="false">'W Programs'!C18</f>
        <v>WOO IP</v>
      </c>
      <c r="F382" s="81" t="str">
        <f aca="false">'W Programs'!D18</f>
        <v>Retail</v>
      </c>
      <c r="G382" s="145" t="n">
        <f aca="false">INDEX('W Programs'!$F$18:$H$18,1,D382)*INDEX('W Assumptions'!$D$7:$F$7,1,D382)*'W Assumptions'!F97/SUM('W Assumptions'!F$95:F$106)</f>
        <v>412.5</v>
      </c>
      <c r="H382" s="81" t="n">
        <f aca="false">G382*INDEX('W Programs'!$I$18:$K$18,1,D382)*INDEX('W Assumptions'!$D$12:$F$12,1,D382)</f>
        <v>107250</v>
      </c>
      <c r="I382" s="81" t="n">
        <f aca="false">H382*CHOOSE(D382,'W Programs'!L18,'W Programs'!Q18,'W Programs'!R18)*INDEX('W Assumptions'!$D$17:$F$17,1,D382)</f>
        <v>51480</v>
      </c>
      <c r="J382" s="81" t="n">
        <f aca="false">H382*'W Programs'!$M$18*'W Programs'!$O$18</f>
        <v>0</v>
      </c>
      <c r="K382" s="149" t="n">
        <f aca="false">'W Programs'!$N$18</f>
        <v>1</v>
      </c>
      <c r="L382" s="81" t="n">
        <f aca="false">H382*K382+H354*(1-K382)</f>
        <v>107250</v>
      </c>
      <c r="M382" s="81" t="n">
        <f aca="false">L382*'W Programs'!$M$18*'W Programs'!$O$18</f>
        <v>0</v>
      </c>
      <c r="N382" s="81" t="n">
        <f aca="false">I382*'W Assumptions'!$D$55+I368*(1-'W Assumptions'!$D$55)</f>
        <v>51480</v>
      </c>
      <c r="O382" s="81" t="n">
        <f aca="false">H382-I382-J382</f>
        <v>55770</v>
      </c>
    </row>
    <row r="383" customFormat="false" ht="21" hidden="false" customHeight="true" outlineLevel="0" collapsed="false">
      <c r="C383" s="144" t="n">
        <f aca="false">47058</f>
        <v>47058</v>
      </c>
      <c r="D383" s="81" t="n">
        <f aca="false">3</f>
        <v>3</v>
      </c>
      <c r="E383" s="81" t="str">
        <f aca="false">'W Programs'!C19</f>
        <v>WOO IP</v>
      </c>
      <c r="F383" s="81" t="str">
        <f aca="false">'W Programs'!D19</f>
        <v>Licensing</v>
      </c>
      <c r="G383" s="145" t="n">
        <f aca="false">INDEX('W Programs'!$F$19:$H$19,1,D383)*INDEX('W Assumptions'!$D$7:$F$7,1,D383)*'W Assumptions'!F97/SUM('W Assumptions'!F$95:F$106)</f>
        <v>0.0458333333333333</v>
      </c>
      <c r="H383" s="81" t="n">
        <f aca="false">G383*INDEX('W Programs'!$I$19:$K$19,1,D383)*INDEX('W Assumptions'!$D$12:$F$12,1,D383)</f>
        <v>36666.6666666667</v>
      </c>
      <c r="I383" s="81" t="n">
        <f aca="false">H383*CHOOSE(D383,'W Programs'!L19,'W Programs'!Q19,'W Programs'!R19)*INDEX('W Assumptions'!$D$17:$F$17,1,D383)</f>
        <v>3666.66666666667</v>
      </c>
      <c r="J383" s="81" t="n">
        <f aca="false">H383*'W Programs'!$M$19*'W Programs'!$O$19</f>
        <v>0</v>
      </c>
      <c r="K383" s="149" t="n">
        <f aca="false">'W Programs'!$N$19</f>
        <v>0.3</v>
      </c>
      <c r="L383" s="81" t="n">
        <f aca="false">H383*K383+H355*(1-K383)</f>
        <v>36666.6666666667</v>
      </c>
      <c r="M383" s="81" t="n">
        <f aca="false">L383*'W Programs'!$M$19*'W Programs'!$O$19</f>
        <v>0</v>
      </c>
      <c r="N383" s="81" t="n">
        <f aca="false">I383*'W Assumptions'!$D$55+I369*(1-'W Assumptions'!$D$55)</f>
        <v>3666.66666666667</v>
      </c>
      <c r="O383" s="81" t="n">
        <f aca="false">H383-I383-J383</f>
        <v>33000</v>
      </c>
    </row>
    <row r="384" customFormat="false" ht="21" hidden="false" customHeight="true" outlineLevel="0" collapsed="false">
      <c r="C384" s="144" t="n">
        <f aca="false">47088</f>
        <v>47088</v>
      </c>
      <c r="D384" s="81" t="n">
        <f aca="false">3</f>
        <v>3</v>
      </c>
      <c r="E384" s="81" t="str">
        <f aca="false">'W Programs'!C6</f>
        <v>TLI</v>
      </c>
      <c r="F384" s="81" t="str">
        <f aca="false">'W Programs'!D6</f>
        <v>Schools</v>
      </c>
      <c r="G384" s="145" t="n">
        <f aca="false">INDEX('W Programs'!$F$6:$H$6,1,D384)*INDEX('W Assumptions'!$D$7:$F$7,1,D384)*'W Assumptions'!F98/SUM('W Assumptions'!F$95:F$106)</f>
        <v>0.9375</v>
      </c>
      <c r="H384" s="81" t="n">
        <f aca="false">G384*INDEX('W Programs'!$I$6:$K$6,1,D384)*INDEX('W Assumptions'!$D$12:$F$12,1,D384)</f>
        <v>178125</v>
      </c>
      <c r="I384" s="81" t="n">
        <f aca="false">H384*CHOOSE(D384,'W Programs'!L6,'W Programs'!Q6,'W Programs'!R6)*INDEX('W Assumptions'!$D$17:$F$17,1,D384)</f>
        <v>67687.5</v>
      </c>
      <c r="J384" s="81" t="n">
        <f aca="false">H384*'W Programs'!$M$6*'W Programs'!$O$6</f>
        <v>0</v>
      </c>
      <c r="K384" s="149" t="n">
        <f aca="false">'W Programs'!$N$6</f>
        <v>0.3</v>
      </c>
      <c r="L384" s="81" t="n">
        <f aca="false">H384*K384+H356*(1-K384)</f>
        <v>178125</v>
      </c>
      <c r="M384" s="81" t="n">
        <f aca="false">L384*'W Programs'!$M$6*'W Programs'!$O$6</f>
        <v>0</v>
      </c>
      <c r="N384" s="81" t="n">
        <f aca="false">I384*'W Assumptions'!$D$55+I370*(1-'W Assumptions'!$D$55)</f>
        <v>67687.5</v>
      </c>
      <c r="O384" s="81" t="n">
        <f aca="false">H384-I384-J384</f>
        <v>110437.5</v>
      </c>
    </row>
    <row r="385" customFormat="false" ht="21" hidden="false" customHeight="true" outlineLevel="0" collapsed="false">
      <c r="C385" s="144" t="n">
        <f aca="false">47088</f>
        <v>47088</v>
      </c>
      <c r="D385" s="81" t="n">
        <f aca="false">3</f>
        <v>3</v>
      </c>
      <c r="E385" s="81" t="str">
        <f aca="false">'W Programs'!C7</f>
        <v>TLI</v>
      </c>
      <c r="F385" s="81" t="str">
        <f aca="false">'W Programs'!D7</f>
        <v>Activations</v>
      </c>
      <c r="G385" s="145" t="n">
        <f aca="false">INDEX('W Programs'!$F$7:$H$7,1,D385)*INDEX('W Assumptions'!$D$7:$F$7,1,D385)*'W Assumptions'!F98/SUM('W Assumptions'!F$95:F$106)</f>
        <v>1.125</v>
      </c>
      <c r="H385" s="81" t="n">
        <f aca="false">G385*INDEX('W Programs'!$I$7:$K$7,1,D385)*INDEX('W Assumptions'!$D$12:$F$12,1,D385)</f>
        <v>95625</v>
      </c>
      <c r="I385" s="81" t="n">
        <f aca="false">H385*CHOOSE(D385,'W Programs'!L7,'W Programs'!Q7,'W Programs'!R7)*INDEX('W Assumptions'!$D$17:$F$17,1,D385)</f>
        <v>47812.5</v>
      </c>
      <c r="J385" s="81" t="n">
        <f aca="false">H385*'W Programs'!$M$7*'W Programs'!$O$7</f>
        <v>0</v>
      </c>
      <c r="K385" s="149" t="n">
        <f aca="false">'W Programs'!$N$7</f>
        <v>0.3</v>
      </c>
      <c r="L385" s="81" t="n">
        <f aca="false">H385*K385+H357*(1-K385)</f>
        <v>95625</v>
      </c>
      <c r="M385" s="81" t="n">
        <f aca="false">L385*'W Programs'!$M$7*'W Programs'!$O$7</f>
        <v>0</v>
      </c>
      <c r="N385" s="81" t="n">
        <f aca="false">I385*'W Assumptions'!$D$55+I371*(1-'W Assumptions'!$D$55)</f>
        <v>47812.5</v>
      </c>
      <c r="O385" s="81" t="n">
        <f aca="false">H385-I385-J385</f>
        <v>47812.5</v>
      </c>
    </row>
    <row r="386" customFormat="false" ht="21" hidden="false" customHeight="true" outlineLevel="0" collapsed="false">
      <c r="C386" s="144" t="n">
        <f aca="false">47088</f>
        <v>47088</v>
      </c>
      <c r="D386" s="81" t="n">
        <f aca="false">3</f>
        <v>3</v>
      </c>
      <c r="E386" s="81" t="str">
        <f aca="false">'W Programs'!C8</f>
        <v>TLI</v>
      </c>
      <c r="F386" s="81" t="str">
        <f aca="false">'W Programs'!D8</f>
        <v>Workshops</v>
      </c>
      <c r="G386" s="145" t="n">
        <f aca="false">INDEX('W Programs'!$F$8:$H$8,1,D386)*INDEX('W Assumptions'!$D$7:$F$7,1,D386)*'W Assumptions'!F98/SUM('W Assumptions'!F$95:F$106)</f>
        <v>9.75</v>
      </c>
      <c r="H386" s="81" t="n">
        <f aca="false">G386*INDEX('W Programs'!$I$8:$K$8,1,D386)*INDEX('W Assumptions'!$D$12:$F$12,1,D386)</f>
        <v>53625</v>
      </c>
      <c r="I386" s="81" t="n">
        <f aca="false">H386*CHOOSE(D386,'W Programs'!L8,'W Programs'!Q8,'W Programs'!R8)*INDEX('W Assumptions'!$D$17:$F$17,1,D386)</f>
        <v>21450</v>
      </c>
      <c r="J386" s="81" t="n">
        <f aca="false">H386*'W Programs'!$M$8*'W Programs'!$O$8</f>
        <v>0</v>
      </c>
      <c r="K386" s="149" t="n">
        <f aca="false">'W Programs'!$N$8</f>
        <v>0.7</v>
      </c>
      <c r="L386" s="81" t="n">
        <f aca="false">H386*K386+H358*(1-K386)</f>
        <v>53625</v>
      </c>
      <c r="M386" s="81" t="n">
        <f aca="false">L386*'W Programs'!$M$8*'W Programs'!$O$8</f>
        <v>0</v>
      </c>
      <c r="N386" s="81" t="n">
        <f aca="false">I386*'W Assumptions'!$D$55+I372*(1-'W Assumptions'!$D$55)</f>
        <v>21450</v>
      </c>
      <c r="O386" s="81" t="n">
        <f aca="false">H386-I386-J386</f>
        <v>32175</v>
      </c>
    </row>
    <row r="387" customFormat="false" ht="21" hidden="false" customHeight="true" outlineLevel="0" collapsed="false">
      <c r="C387" s="144" t="n">
        <f aca="false">47088</f>
        <v>47088</v>
      </c>
      <c r="D387" s="81" t="n">
        <f aca="false">3</f>
        <v>3</v>
      </c>
      <c r="E387" s="81" t="str">
        <f aca="false">'W Programs'!C9</f>
        <v>TLI</v>
      </c>
      <c r="F387" s="81" t="str">
        <f aca="false">'W Programs'!D9</f>
        <v>Installations</v>
      </c>
      <c r="G387" s="145" t="n">
        <f aca="false">INDEX('W Programs'!$F$9:$H$9,1,D387)*INDEX('W Assumptions'!$D$7:$F$7,1,D387)*'W Assumptions'!F98/SUM('W Assumptions'!F$95:F$106)</f>
        <v>0.1875</v>
      </c>
      <c r="H387" s="81" t="n">
        <f aca="false">G387*INDEX('W Programs'!$I$9:$K$9,1,D387)*INDEX('W Assumptions'!$D$12:$F$12,1,D387)</f>
        <v>61875</v>
      </c>
      <c r="I387" s="81" t="n">
        <f aca="false">H387*CHOOSE(D387,'W Programs'!L9,'W Programs'!Q9,'W Programs'!R9)*INDEX('W Assumptions'!$D$17:$F$17,1,D387)</f>
        <v>35887.5</v>
      </c>
      <c r="J387" s="81" t="n">
        <f aca="false">H387*'W Programs'!$M$9*'W Programs'!$O$9</f>
        <v>0</v>
      </c>
      <c r="K387" s="149" t="n">
        <f aca="false">'W Programs'!$N$9</f>
        <v>0.3</v>
      </c>
      <c r="L387" s="81" t="n">
        <f aca="false">H387*K387+H359*(1-K387)</f>
        <v>61875</v>
      </c>
      <c r="M387" s="81" t="n">
        <f aca="false">L387*'W Programs'!$M$9*'W Programs'!$O$9</f>
        <v>0</v>
      </c>
      <c r="N387" s="81" t="n">
        <f aca="false">I387*'W Assumptions'!$D$55+I373*(1-'W Assumptions'!$D$55)</f>
        <v>35887.5</v>
      </c>
      <c r="O387" s="81" t="n">
        <f aca="false">H387-I387-J387</f>
        <v>25987.5</v>
      </c>
    </row>
    <row r="388" customFormat="false" ht="21" hidden="false" customHeight="true" outlineLevel="0" collapsed="false">
      <c r="C388" s="144" t="n">
        <f aca="false">47088</f>
        <v>47088</v>
      </c>
      <c r="D388" s="81" t="n">
        <f aca="false">3</f>
        <v>3</v>
      </c>
      <c r="E388" s="81" t="str">
        <f aca="false">'W Programs'!C10</f>
        <v>TLI</v>
      </c>
      <c r="F388" s="81" t="str">
        <f aca="false">'W Programs'!D10</f>
        <v>Digital</v>
      </c>
      <c r="G388" s="145" t="n">
        <f aca="false">INDEX('W Programs'!$F$10:$H$10,1,D388)*INDEX('W Assumptions'!$D$7:$F$7,1,D388)*'W Assumptions'!F98/SUM('W Assumptions'!F$95:F$106)</f>
        <v>150</v>
      </c>
      <c r="H388" s="81" t="n">
        <f aca="false">G388*INDEX('W Programs'!$I$10:$K$10,1,D388)*INDEX('W Assumptions'!$D$12:$F$12,1,D388)</f>
        <v>56250</v>
      </c>
      <c r="I388" s="81" t="n">
        <f aca="false">H388*CHOOSE(D388,'W Programs'!L10,'W Programs'!Q10,'W Programs'!R10)*INDEX('W Assumptions'!$D$17:$F$17,1,D388)</f>
        <v>9000</v>
      </c>
      <c r="J388" s="81" t="n">
        <f aca="false">H388*'W Programs'!$M$10*'W Programs'!$O$10</f>
        <v>0</v>
      </c>
      <c r="K388" s="149" t="n">
        <f aca="false">'W Programs'!$N$10</f>
        <v>1</v>
      </c>
      <c r="L388" s="81" t="n">
        <f aca="false">H388*K388+H360*(1-K388)</f>
        <v>56250</v>
      </c>
      <c r="M388" s="81" t="n">
        <f aca="false">L388*'W Programs'!$M$10*'W Programs'!$O$10</f>
        <v>0</v>
      </c>
      <c r="N388" s="81" t="n">
        <f aca="false">I388*'W Assumptions'!$D$55+I374*(1-'W Assumptions'!$D$55)</f>
        <v>9000</v>
      </c>
      <c r="O388" s="81" t="n">
        <f aca="false">H388-I388-J388</f>
        <v>47250</v>
      </c>
    </row>
    <row r="389" customFormat="false" ht="21" hidden="false" customHeight="true" outlineLevel="0" collapsed="false">
      <c r="C389" s="144" t="n">
        <f aca="false">47088</f>
        <v>47088</v>
      </c>
      <c r="D389" s="81" t="n">
        <f aca="false">3</f>
        <v>3</v>
      </c>
      <c r="E389" s="81" t="str">
        <f aca="false">'W Programs'!C11</f>
        <v>TLI</v>
      </c>
      <c r="F389" s="81" t="str">
        <f aca="false">'W Programs'!D11</f>
        <v>Retail</v>
      </c>
      <c r="G389" s="145" t="n">
        <f aca="false">INDEX('W Programs'!$F$11:$H$11,1,D389)*INDEX('W Assumptions'!$D$7:$F$7,1,D389)*'W Assumptions'!F98/SUM('W Assumptions'!F$95:F$106)</f>
        <v>337.5</v>
      </c>
      <c r="H389" s="81" t="n">
        <f aca="false">G389*INDEX('W Programs'!$I$11:$K$11,1,D389)*INDEX('W Assumptions'!$D$12:$F$12,1,D389)</f>
        <v>87750</v>
      </c>
      <c r="I389" s="81" t="n">
        <f aca="false">H389*CHOOSE(D389,'W Programs'!L11,'W Programs'!Q11,'W Programs'!R11)*INDEX('W Assumptions'!$D$17:$F$17,1,D389)</f>
        <v>42120</v>
      </c>
      <c r="J389" s="81" t="n">
        <f aca="false">H389*'W Programs'!$M$11*'W Programs'!$O$11</f>
        <v>0</v>
      </c>
      <c r="K389" s="149" t="n">
        <f aca="false">'W Programs'!$N$11</f>
        <v>1</v>
      </c>
      <c r="L389" s="81" t="n">
        <f aca="false">H389*K389+H361*(1-K389)</f>
        <v>87750</v>
      </c>
      <c r="M389" s="81" t="n">
        <f aca="false">L389*'W Programs'!$M$11*'W Programs'!$O$11</f>
        <v>0</v>
      </c>
      <c r="N389" s="81" t="n">
        <f aca="false">I389*'W Assumptions'!$D$55+I375*(1-'W Assumptions'!$D$55)</f>
        <v>42120</v>
      </c>
      <c r="O389" s="81" t="n">
        <f aca="false">H389-I389-J389</f>
        <v>45630</v>
      </c>
    </row>
    <row r="390" customFormat="false" ht="21" hidden="false" customHeight="true" outlineLevel="0" collapsed="false">
      <c r="C390" s="144" t="n">
        <f aca="false">47088</f>
        <v>47088</v>
      </c>
      <c r="D390" s="81" t="n">
        <f aca="false">3</f>
        <v>3</v>
      </c>
      <c r="E390" s="81" t="str">
        <f aca="false">'W Programs'!C12</f>
        <v>TLI</v>
      </c>
      <c r="F390" s="81" t="str">
        <f aca="false">'W Programs'!D12</f>
        <v>Licensing</v>
      </c>
      <c r="G390" s="145" t="n">
        <f aca="false">INDEX('W Programs'!$F$12:$H$12,1,D390)*INDEX('W Assumptions'!$D$7:$F$7,1,D390)*'W Assumptions'!F98/SUM('W Assumptions'!F$95:F$106)</f>
        <v>0.0375</v>
      </c>
      <c r="H390" s="81" t="n">
        <f aca="false">G390*INDEX('W Programs'!$I$12:$K$12,1,D390)*INDEX('W Assumptions'!$D$12:$F$12,1,D390)</f>
        <v>30000</v>
      </c>
      <c r="I390" s="81" t="n">
        <f aca="false">H390*CHOOSE(D390,'W Programs'!L12,'W Programs'!Q12,'W Programs'!R12)*INDEX('W Assumptions'!$D$17:$F$17,1,D390)</f>
        <v>3000</v>
      </c>
      <c r="J390" s="81" t="n">
        <f aca="false">H390*'W Programs'!$M$12*'W Programs'!$O$12</f>
        <v>0</v>
      </c>
      <c r="K390" s="149" t="n">
        <f aca="false">'W Programs'!$N$12</f>
        <v>0.3</v>
      </c>
      <c r="L390" s="81" t="n">
        <f aca="false">H390*K390+H362*(1-K390)</f>
        <v>30000</v>
      </c>
      <c r="M390" s="81" t="n">
        <f aca="false">L390*'W Programs'!$M$12*'W Programs'!$O$12</f>
        <v>0</v>
      </c>
      <c r="N390" s="81" t="n">
        <f aca="false">I390*'W Assumptions'!$D$55+I376*(1-'W Assumptions'!$D$55)</f>
        <v>3000</v>
      </c>
      <c r="O390" s="81" t="n">
        <f aca="false">H390-I390-J390</f>
        <v>27000</v>
      </c>
    </row>
    <row r="391" customFormat="false" ht="21" hidden="false" customHeight="true" outlineLevel="0" collapsed="false">
      <c r="C391" s="144" t="n">
        <f aca="false">47088</f>
        <v>47088</v>
      </c>
      <c r="D391" s="81" t="n">
        <f aca="false">3</f>
        <v>3</v>
      </c>
      <c r="E391" s="81" t="str">
        <f aca="false">'W Programs'!C13</f>
        <v>WOO IP</v>
      </c>
      <c r="F391" s="81" t="str">
        <f aca="false">'W Programs'!D13</f>
        <v>Schools</v>
      </c>
      <c r="G391" s="145" t="n">
        <f aca="false">INDEX('W Programs'!$F$13:$H$13,1,D391)*INDEX('W Assumptions'!$D$7:$F$7,1,D391)*'W Assumptions'!F98/SUM('W Assumptions'!F$95:F$106)</f>
        <v>1.14583333333333</v>
      </c>
      <c r="H391" s="81" t="n">
        <f aca="false">G391*INDEX('W Programs'!$I$13:$K$13,1,D391)*INDEX('W Assumptions'!$D$12:$F$12,1,D391)</f>
        <v>217708.333333333</v>
      </c>
      <c r="I391" s="81" t="n">
        <f aca="false">H391*CHOOSE(D391,'W Programs'!L13,'W Programs'!Q13,'W Programs'!R13)*INDEX('W Assumptions'!$D$17:$F$17,1,D391)</f>
        <v>82729.1666666667</v>
      </c>
      <c r="J391" s="81" t="n">
        <f aca="false">H391*'W Programs'!$M$13*'W Programs'!$O$13</f>
        <v>0</v>
      </c>
      <c r="K391" s="149" t="n">
        <f aca="false">'W Programs'!$N$13</f>
        <v>0.3</v>
      </c>
      <c r="L391" s="81" t="n">
        <f aca="false">H391*K391+H363*(1-K391)</f>
        <v>217708.333333333</v>
      </c>
      <c r="M391" s="81" t="n">
        <f aca="false">L391*'W Programs'!$M$13*'W Programs'!$O$13</f>
        <v>0</v>
      </c>
      <c r="N391" s="81" t="n">
        <f aca="false">I391*'W Assumptions'!$D$55+I377*(1-'W Assumptions'!$D$55)</f>
        <v>82729.1666666667</v>
      </c>
      <c r="O391" s="81" t="n">
        <f aca="false">H391-I391-J391</f>
        <v>134979.166666667</v>
      </c>
    </row>
    <row r="392" customFormat="false" ht="21" hidden="false" customHeight="true" outlineLevel="0" collapsed="false">
      <c r="C392" s="144" t="n">
        <f aca="false">47088</f>
        <v>47088</v>
      </c>
      <c r="D392" s="81" t="n">
        <f aca="false">3</f>
        <v>3</v>
      </c>
      <c r="E392" s="81" t="str">
        <f aca="false">'W Programs'!C14</f>
        <v>WOO IP</v>
      </c>
      <c r="F392" s="81" t="str">
        <f aca="false">'W Programs'!D14</f>
        <v>Activations</v>
      </c>
      <c r="G392" s="145" t="n">
        <f aca="false">INDEX('W Programs'!$F$14:$H$14,1,D392)*INDEX('W Assumptions'!$D$7:$F$7,1,D392)*'W Assumptions'!F98/SUM('W Assumptions'!F$95:F$106)</f>
        <v>1.375</v>
      </c>
      <c r="H392" s="81" t="n">
        <f aca="false">G392*INDEX('W Programs'!$I$14:$K$14,1,D392)*INDEX('W Assumptions'!$D$12:$F$12,1,D392)</f>
        <v>116875</v>
      </c>
      <c r="I392" s="81" t="n">
        <f aca="false">H392*CHOOSE(D392,'W Programs'!L14,'W Programs'!Q14,'W Programs'!R14)*INDEX('W Assumptions'!$D$17:$F$17,1,D392)</f>
        <v>58437.5</v>
      </c>
      <c r="J392" s="81" t="n">
        <f aca="false">H392*'W Programs'!$M$14*'W Programs'!$O$14</f>
        <v>0</v>
      </c>
      <c r="K392" s="149" t="n">
        <f aca="false">'W Programs'!$N$14</f>
        <v>0.3</v>
      </c>
      <c r="L392" s="81" t="n">
        <f aca="false">H392*K392+H364*(1-K392)</f>
        <v>116875</v>
      </c>
      <c r="M392" s="81" t="n">
        <f aca="false">L392*'W Programs'!$M$14*'W Programs'!$O$14</f>
        <v>0</v>
      </c>
      <c r="N392" s="81" t="n">
        <f aca="false">I392*'W Assumptions'!$D$55+I378*(1-'W Assumptions'!$D$55)</f>
        <v>58437.5</v>
      </c>
      <c r="O392" s="81" t="n">
        <f aca="false">H392-I392-J392</f>
        <v>58437.5</v>
      </c>
    </row>
    <row r="393" customFormat="false" ht="21" hidden="false" customHeight="true" outlineLevel="0" collapsed="false">
      <c r="C393" s="144" t="n">
        <f aca="false">47088</f>
        <v>47088</v>
      </c>
      <c r="D393" s="81" t="n">
        <f aca="false">3</f>
        <v>3</v>
      </c>
      <c r="E393" s="81" t="str">
        <f aca="false">'W Programs'!C15</f>
        <v>WOO IP</v>
      </c>
      <c r="F393" s="81" t="str">
        <f aca="false">'W Programs'!D15</f>
        <v>Workshops</v>
      </c>
      <c r="G393" s="145" t="n">
        <f aca="false">INDEX('W Programs'!$F$15:$H$15,1,D393)*INDEX('W Assumptions'!$D$7:$F$7,1,D393)*'W Assumptions'!F98/SUM('W Assumptions'!F$95:F$106)</f>
        <v>11.9166666666667</v>
      </c>
      <c r="H393" s="81" t="n">
        <f aca="false">G393*INDEX('W Programs'!$I$15:$K$15,1,D393)*INDEX('W Assumptions'!$D$12:$F$12,1,D393)</f>
        <v>65541.6666666667</v>
      </c>
      <c r="I393" s="81" t="n">
        <f aca="false">H393*CHOOSE(D393,'W Programs'!L15,'W Programs'!Q15,'W Programs'!R15)*INDEX('W Assumptions'!$D$17:$F$17,1,D393)</f>
        <v>26216.6666666667</v>
      </c>
      <c r="J393" s="81" t="n">
        <f aca="false">H393*'W Programs'!$M$15*'W Programs'!$O$15</f>
        <v>0</v>
      </c>
      <c r="K393" s="149" t="n">
        <f aca="false">'W Programs'!$N$15</f>
        <v>0.7</v>
      </c>
      <c r="L393" s="81" t="n">
        <f aca="false">H393*K393+H365*(1-K393)</f>
        <v>65541.6666666667</v>
      </c>
      <c r="M393" s="81" t="n">
        <f aca="false">L393*'W Programs'!$M$15*'W Programs'!$O$15</f>
        <v>0</v>
      </c>
      <c r="N393" s="81" t="n">
        <f aca="false">I393*'W Assumptions'!$D$55+I379*(1-'W Assumptions'!$D$55)</f>
        <v>26216.6666666667</v>
      </c>
      <c r="O393" s="81" t="n">
        <f aca="false">H393-I393-J393</f>
        <v>39325</v>
      </c>
    </row>
    <row r="394" customFormat="false" ht="21" hidden="false" customHeight="true" outlineLevel="0" collapsed="false">
      <c r="C394" s="144" t="n">
        <f aca="false">47088</f>
        <v>47088</v>
      </c>
      <c r="D394" s="81" t="n">
        <f aca="false">3</f>
        <v>3</v>
      </c>
      <c r="E394" s="81" t="str">
        <f aca="false">'W Programs'!C16</f>
        <v>WOO IP</v>
      </c>
      <c r="F394" s="81" t="str">
        <f aca="false">'W Programs'!D16</f>
        <v>Installations</v>
      </c>
      <c r="G394" s="145" t="n">
        <f aca="false">INDEX('W Programs'!$F$16:$H$16,1,D394)*INDEX('W Assumptions'!$D$7:$F$7,1,D394)*'W Assumptions'!F98/SUM('W Assumptions'!F$95:F$106)</f>
        <v>0.229166666666667</v>
      </c>
      <c r="H394" s="81" t="n">
        <f aca="false">G394*INDEX('W Programs'!$I$16:$K$16,1,D394)*INDEX('W Assumptions'!$D$12:$F$12,1,D394)</f>
        <v>75625</v>
      </c>
      <c r="I394" s="81" t="n">
        <f aca="false">H394*CHOOSE(D394,'W Programs'!L16,'W Programs'!Q16,'W Programs'!R16)*INDEX('W Assumptions'!$D$17:$F$17,1,D394)</f>
        <v>43862.5</v>
      </c>
      <c r="J394" s="81" t="n">
        <f aca="false">H394*'W Programs'!$M$16*'W Programs'!$O$16</f>
        <v>0</v>
      </c>
      <c r="K394" s="149" t="n">
        <f aca="false">'W Programs'!$N$16</f>
        <v>0.3</v>
      </c>
      <c r="L394" s="81" t="n">
        <f aca="false">H394*K394+H366*(1-K394)</f>
        <v>75625</v>
      </c>
      <c r="M394" s="81" t="n">
        <f aca="false">L394*'W Programs'!$M$16*'W Programs'!$O$16</f>
        <v>0</v>
      </c>
      <c r="N394" s="81" t="n">
        <f aca="false">I394*'W Assumptions'!$D$55+I380*(1-'W Assumptions'!$D$55)</f>
        <v>43862.5</v>
      </c>
      <c r="O394" s="81" t="n">
        <f aca="false">H394-I394-J394</f>
        <v>31762.5</v>
      </c>
    </row>
    <row r="395" customFormat="false" ht="21" hidden="false" customHeight="true" outlineLevel="0" collapsed="false">
      <c r="C395" s="144" t="n">
        <f aca="false">47088</f>
        <v>47088</v>
      </c>
      <c r="D395" s="81" t="n">
        <f aca="false">3</f>
        <v>3</v>
      </c>
      <c r="E395" s="81" t="str">
        <f aca="false">'W Programs'!C17</f>
        <v>WOO IP</v>
      </c>
      <c r="F395" s="81" t="str">
        <f aca="false">'W Programs'!D17</f>
        <v>Digital</v>
      </c>
      <c r="G395" s="145" t="n">
        <f aca="false">INDEX('W Programs'!$F$17:$H$17,1,D395)*INDEX('W Assumptions'!$D$7:$F$7,1,D395)*'W Assumptions'!F98/SUM('W Assumptions'!F$95:F$106)</f>
        <v>183.333333333333</v>
      </c>
      <c r="H395" s="81" t="n">
        <f aca="false">G395*INDEX('W Programs'!$I$17:$K$17,1,D395)*INDEX('W Assumptions'!$D$12:$F$12,1,D395)</f>
        <v>68750</v>
      </c>
      <c r="I395" s="81" t="n">
        <f aca="false">H395*CHOOSE(D395,'W Programs'!L17,'W Programs'!Q17,'W Programs'!R17)*INDEX('W Assumptions'!$D$17:$F$17,1,D395)</f>
        <v>11000</v>
      </c>
      <c r="J395" s="81" t="n">
        <f aca="false">H395*'W Programs'!$M$17*'W Programs'!$O$17</f>
        <v>0</v>
      </c>
      <c r="K395" s="149" t="n">
        <f aca="false">'W Programs'!$N$17</f>
        <v>1</v>
      </c>
      <c r="L395" s="81" t="n">
        <f aca="false">H395*K395+H367*(1-K395)</f>
        <v>68750</v>
      </c>
      <c r="M395" s="81" t="n">
        <f aca="false">L395*'W Programs'!$M$17*'W Programs'!$O$17</f>
        <v>0</v>
      </c>
      <c r="N395" s="81" t="n">
        <f aca="false">I395*'W Assumptions'!$D$55+I381*(1-'W Assumptions'!$D$55)</f>
        <v>11000</v>
      </c>
      <c r="O395" s="81" t="n">
        <f aca="false">H395-I395-J395</f>
        <v>57750</v>
      </c>
    </row>
    <row r="396" customFormat="false" ht="21" hidden="false" customHeight="true" outlineLevel="0" collapsed="false">
      <c r="C396" s="144" t="n">
        <f aca="false">47088</f>
        <v>47088</v>
      </c>
      <c r="D396" s="81" t="n">
        <f aca="false">3</f>
        <v>3</v>
      </c>
      <c r="E396" s="81" t="str">
        <f aca="false">'W Programs'!C18</f>
        <v>WOO IP</v>
      </c>
      <c r="F396" s="81" t="str">
        <f aca="false">'W Programs'!D18</f>
        <v>Retail</v>
      </c>
      <c r="G396" s="145" t="n">
        <f aca="false">INDEX('W Programs'!$F$18:$H$18,1,D396)*INDEX('W Assumptions'!$D$7:$F$7,1,D396)*'W Assumptions'!F98/SUM('W Assumptions'!F$95:F$106)</f>
        <v>412.5</v>
      </c>
      <c r="H396" s="81" t="n">
        <f aca="false">G396*INDEX('W Programs'!$I$18:$K$18,1,D396)*INDEX('W Assumptions'!$D$12:$F$12,1,D396)</f>
        <v>107250</v>
      </c>
      <c r="I396" s="81" t="n">
        <f aca="false">H396*CHOOSE(D396,'W Programs'!L18,'W Programs'!Q18,'W Programs'!R18)*INDEX('W Assumptions'!$D$17:$F$17,1,D396)</f>
        <v>51480</v>
      </c>
      <c r="J396" s="81" t="n">
        <f aca="false">H396*'W Programs'!$M$18*'W Programs'!$O$18</f>
        <v>0</v>
      </c>
      <c r="K396" s="149" t="n">
        <f aca="false">'W Programs'!$N$18</f>
        <v>1</v>
      </c>
      <c r="L396" s="81" t="n">
        <f aca="false">H396*K396+H368*(1-K396)</f>
        <v>107250</v>
      </c>
      <c r="M396" s="81" t="n">
        <f aca="false">L396*'W Programs'!$M$18*'W Programs'!$O$18</f>
        <v>0</v>
      </c>
      <c r="N396" s="81" t="n">
        <f aca="false">I396*'W Assumptions'!$D$55+I382*(1-'W Assumptions'!$D$55)</f>
        <v>51480</v>
      </c>
      <c r="O396" s="81" t="n">
        <f aca="false">H396-I396-J396</f>
        <v>55770</v>
      </c>
    </row>
    <row r="397" customFormat="false" ht="21" hidden="false" customHeight="true" outlineLevel="0" collapsed="false">
      <c r="C397" s="144" t="n">
        <f aca="false">47088</f>
        <v>47088</v>
      </c>
      <c r="D397" s="81" t="n">
        <f aca="false">3</f>
        <v>3</v>
      </c>
      <c r="E397" s="81" t="str">
        <f aca="false">'W Programs'!C19</f>
        <v>WOO IP</v>
      </c>
      <c r="F397" s="81" t="str">
        <f aca="false">'W Programs'!D19</f>
        <v>Licensing</v>
      </c>
      <c r="G397" s="145" t="n">
        <f aca="false">INDEX('W Programs'!$F$19:$H$19,1,D397)*INDEX('W Assumptions'!$D$7:$F$7,1,D397)*'W Assumptions'!F98/SUM('W Assumptions'!F$95:F$106)</f>
        <v>0.0458333333333333</v>
      </c>
      <c r="H397" s="81" t="n">
        <f aca="false">G397*INDEX('W Programs'!$I$19:$K$19,1,D397)*INDEX('W Assumptions'!$D$12:$F$12,1,D397)</f>
        <v>36666.6666666667</v>
      </c>
      <c r="I397" s="81" t="n">
        <f aca="false">H397*CHOOSE(D397,'W Programs'!L19,'W Programs'!Q19,'W Programs'!R19)*INDEX('W Assumptions'!$D$17:$F$17,1,D397)</f>
        <v>3666.66666666667</v>
      </c>
      <c r="J397" s="81" t="n">
        <f aca="false">H397*'W Programs'!$M$19*'W Programs'!$O$19</f>
        <v>0</v>
      </c>
      <c r="K397" s="149" t="n">
        <f aca="false">'W Programs'!$N$19</f>
        <v>0.3</v>
      </c>
      <c r="L397" s="81" t="n">
        <f aca="false">H397*K397+H369*(1-K397)</f>
        <v>36666.6666666667</v>
      </c>
      <c r="M397" s="81" t="n">
        <f aca="false">L397*'W Programs'!$M$19*'W Programs'!$O$19</f>
        <v>0</v>
      </c>
      <c r="N397" s="81" t="n">
        <f aca="false">I397*'W Assumptions'!$D$55+I383*(1-'W Assumptions'!$D$55)</f>
        <v>3666.66666666667</v>
      </c>
      <c r="O397" s="81" t="n">
        <f aca="false">H397-I397-J397</f>
        <v>33000</v>
      </c>
    </row>
    <row r="398" customFormat="false" ht="21" hidden="false" customHeight="true" outlineLevel="0" collapsed="false">
      <c r="C398" s="144" t="n">
        <f aca="false">47119</f>
        <v>47119</v>
      </c>
      <c r="D398" s="81" t="n">
        <f aca="false">3</f>
        <v>3</v>
      </c>
      <c r="E398" s="81" t="str">
        <f aca="false">'W Programs'!C6</f>
        <v>TLI</v>
      </c>
      <c r="F398" s="81" t="str">
        <f aca="false">'W Programs'!D6</f>
        <v>Schools</v>
      </c>
      <c r="G398" s="145" t="n">
        <f aca="false">INDEX('W Programs'!$F$6:$H$6,1,D398)*INDEX('W Assumptions'!$D$7:$F$7,1,D398)*'W Assumptions'!F99/SUM('W Assumptions'!F$95:F$106)</f>
        <v>0.9375</v>
      </c>
      <c r="H398" s="81" t="n">
        <f aca="false">G398*INDEX('W Programs'!$I$6:$K$6,1,D398)*INDEX('W Assumptions'!$D$12:$F$12,1,D398)</f>
        <v>178125</v>
      </c>
      <c r="I398" s="81" t="n">
        <f aca="false">H398*CHOOSE(D398,'W Programs'!L6,'W Programs'!Q6,'W Programs'!R6)*INDEX('W Assumptions'!$D$17:$F$17,1,D398)</f>
        <v>67687.5</v>
      </c>
      <c r="J398" s="81" t="n">
        <f aca="false">H398*'W Programs'!$M$6*'W Programs'!$O$6</f>
        <v>0</v>
      </c>
      <c r="K398" s="149" t="n">
        <f aca="false">'W Programs'!$N$6</f>
        <v>0.3</v>
      </c>
      <c r="L398" s="81" t="n">
        <f aca="false">H398*K398+H370*(1-K398)</f>
        <v>178125</v>
      </c>
      <c r="M398" s="81" t="n">
        <f aca="false">L398*'W Programs'!$M$6*'W Programs'!$O$6</f>
        <v>0</v>
      </c>
      <c r="N398" s="81" t="n">
        <f aca="false">I398*'W Assumptions'!$D$55+I384*(1-'W Assumptions'!$D$55)</f>
        <v>67687.5</v>
      </c>
      <c r="O398" s="81" t="n">
        <f aca="false">H398-I398-J398</f>
        <v>110437.5</v>
      </c>
    </row>
    <row r="399" customFormat="false" ht="21" hidden="false" customHeight="true" outlineLevel="0" collapsed="false">
      <c r="C399" s="144" t="n">
        <f aca="false">47119</f>
        <v>47119</v>
      </c>
      <c r="D399" s="81" t="n">
        <f aca="false">3</f>
        <v>3</v>
      </c>
      <c r="E399" s="81" t="str">
        <f aca="false">'W Programs'!C7</f>
        <v>TLI</v>
      </c>
      <c r="F399" s="81" t="str">
        <f aca="false">'W Programs'!D7</f>
        <v>Activations</v>
      </c>
      <c r="G399" s="145" t="n">
        <f aca="false">INDEX('W Programs'!$F$7:$H$7,1,D399)*INDEX('W Assumptions'!$D$7:$F$7,1,D399)*'W Assumptions'!F99/SUM('W Assumptions'!F$95:F$106)</f>
        <v>1.125</v>
      </c>
      <c r="H399" s="81" t="n">
        <f aca="false">G399*INDEX('W Programs'!$I$7:$K$7,1,D399)*INDEX('W Assumptions'!$D$12:$F$12,1,D399)</f>
        <v>95625</v>
      </c>
      <c r="I399" s="81" t="n">
        <f aca="false">H399*CHOOSE(D399,'W Programs'!L7,'W Programs'!Q7,'W Programs'!R7)*INDEX('W Assumptions'!$D$17:$F$17,1,D399)</f>
        <v>47812.5</v>
      </c>
      <c r="J399" s="81" t="n">
        <f aca="false">H399*'W Programs'!$M$7*'W Programs'!$O$7</f>
        <v>0</v>
      </c>
      <c r="K399" s="149" t="n">
        <f aca="false">'W Programs'!$N$7</f>
        <v>0.3</v>
      </c>
      <c r="L399" s="81" t="n">
        <f aca="false">H399*K399+H371*(1-K399)</f>
        <v>95625</v>
      </c>
      <c r="M399" s="81" t="n">
        <f aca="false">L399*'W Programs'!$M$7*'W Programs'!$O$7</f>
        <v>0</v>
      </c>
      <c r="N399" s="81" t="n">
        <f aca="false">I399*'W Assumptions'!$D$55+I385*(1-'W Assumptions'!$D$55)</f>
        <v>47812.5</v>
      </c>
      <c r="O399" s="81" t="n">
        <f aca="false">H399-I399-J399</f>
        <v>47812.5</v>
      </c>
    </row>
    <row r="400" customFormat="false" ht="21" hidden="false" customHeight="true" outlineLevel="0" collapsed="false">
      <c r="C400" s="144" t="n">
        <f aca="false">47119</f>
        <v>47119</v>
      </c>
      <c r="D400" s="81" t="n">
        <f aca="false">3</f>
        <v>3</v>
      </c>
      <c r="E400" s="81" t="str">
        <f aca="false">'W Programs'!C8</f>
        <v>TLI</v>
      </c>
      <c r="F400" s="81" t="str">
        <f aca="false">'W Programs'!D8</f>
        <v>Workshops</v>
      </c>
      <c r="G400" s="145" t="n">
        <f aca="false">INDEX('W Programs'!$F$8:$H$8,1,D400)*INDEX('W Assumptions'!$D$7:$F$7,1,D400)*'W Assumptions'!F99/SUM('W Assumptions'!F$95:F$106)</f>
        <v>9.75</v>
      </c>
      <c r="H400" s="81" t="n">
        <f aca="false">G400*INDEX('W Programs'!$I$8:$K$8,1,D400)*INDEX('W Assumptions'!$D$12:$F$12,1,D400)</f>
        <v>53625</v>
      </c>
      <c r="I400" s="81" t="n">
        <f aca="false">H400*CHOOSE(D400,'W Programs'!L8,'W Programs'!Q8,'W Programs'!R8)*INDEX('W Assumptions'!$D$17:$F$17,1,D400)</f>
        <v>21450</v>
      </c>
      <c r="J400" s="81" t="n">
        <f aca="false">H400*'W Programs'!$M$8*'W Programs'!$O$8</f>
        <v>0</v>
      </c>
      <c r="K400" s="149" t="n">
        <f aca="false">'W Programs'!$N$8</f>
        <v>0.7</v>
      </c>
      <c r="L400" s="81" t="n">
        <f aca="false">H400*K400+H372*(1-K400)</f>
        <v>53625</v>
      </c>
      <c r="M400" s="81" t="n">
        <f aca="false">L400*'W Programs'!$M$8*'W Programs'!$O$8</f>
        <v>0</v>
      </c>
      <c r="N400" s="81" t="n">
        <f aca="false">I400*'W Assumptions'!$D$55+I386*(1-'W Assumptions'!$D$55)</f>
        <v>21450</v>
      </c>
      <c r="O400" s="81" t="n">
        <f aca="false">H400-I400-J400</f>
        <v>32175</v>
      </c>
    </row>
    <row r="401" customFormat="false" ht="21" hidden="false" customHeight="true" outlineLevel="0" collapsed="false">
      <c r="C401" s="144" t="n">
        <f aca="false">47119</f>
        <v>47119</v>
      </c>
      <c r="D401" s="81" t="n">
        <f aca="false">3</f>
        <v>3</v>
      </c>
      <c r="E401" s="81" t="str">
        <f aca="false">'W Programs'!C9</f>
        <v>TLI</v>
      </c>
      <c r="F401" s="81" t="str">
        <f aca="false">'W Programs'!D9</f>
        <v>Installations</v>
      </c>
      <c r="G401" s="145" t="n">
        <f aca="false">INDEX('W Programs'!$F$9:$H$9,1,D401)*INDEX('W Assumptions'!$D$7:$F$7,1,D401)*'W Assumptions'!F99/SUM('W Assumptions'!F$95:F$106)</f>
        <v>0.1875</v>
      </c>
      <c r="H401" s="81" t="n">
        <f aca="false">G401*INDEX('W Programs'!$I$9:$K$9,1,D401)*INDEX('W Assumptions'!$D$12:$F$12,1,D401)</f>
        <v>61875</v>
      </c>
      <c r="I401" s="81" t="n">
        <f aca="false">H401*CHOOSE(D401,'W Programs'!L9,'W Programs'!Q9,'W Programs'!R9)*INDEX('W Assumptions'!$D$17:$F$17,1,D401)</f>
        <v>35887.5</v>
      </c>
      <c r="J401" s="81" t="n">
        <f aca="false">H401*'W Programs'!$M$9*'W Programs'!$O$9</f>
        <v>0</v>
      </c>
      <c r="K401" s="149" t="n">
        <f aca="false">'W Programs'!$N$9</f>
        <v>0.3</v>
      </c>
      <c r="L401" s="81" t="n">
        <f aca="false">H401*K401+H373*(1-K401)</f>
        <v>61875</v>
      </c>
      <c r="M401" s="81" t="n">
        <f aca="false">L401*'W Programs'!$M$9*'W Programs'!$O$9</f>
        <v>0</v>
      </c>
      <c r="N401" s="81" t="n">
        <f aca="false">I401*'W Assumptions'!$D$55+I387*(1-'W Assumptions'!$D$55)</f>
        <v>35887.5</v>
      </c>
      <c r="O401" s="81" t="n">
        <f aca="false">H401-I401-J401</f>
        <v>25987.5</v>
      </c>
    </row>
    <row r="402" customFormat="false" ht="21" hidden="false" customHeight="true" outlineLevel="0" collapsed="false">
      <c r="C402" s="144" t="n">
        <f aca="false">47119</f>
        <v>47119</v>
      </c>
      <c r="D402" s="81" t="n">
        <f aca="false">3</f>
        <v>3</v>
      </c>
      <c r="E402" s="81" t="str">
        <f aca="false">'W Programs'!C10</f>
        <v>TLI</v>
      </c>
      <c r="F402" s="81" t="str">
        <f aca="false">'W Programs'!D10</f>
        <v>Digital</v>
      </c>
      <c r="G402" s="145" t="n">
        <f aca="false">INDEX('W Programs'!$F$10:$H$10,1,D402)*INDEX('W Assumptions'!$D$7:$F$7,1,D402)*'W Assumptions'!F99/SUM('W Assumptions'!F$95:F$106)</f>
        <v>150</v>
      </c>
      <c r="H402" s="81" t="n">
        <f aca="false">G402*INDEX('W Programs'!$I$10:$K$10,1,D402)*INDEX('W Assumptions'!$D$12:$F$12,1,D402)</f>
        <v>56250</v>
      </c>
      <c r="I402" s="81" t="n">
        <f aca="false">H402*CHOOSE(D402,'W Programs'!L10,'W Programs'!Q10,'W Programs'!R10)*INDEX('W Assumptions'!$D$17:$F$17,1,D402)</f>
        <v>9000</v>
      </c>
      <c r="J402" s="81" t="n">
        <f aca="false">H402*'W Programs'!$M$10*'W Programs'!$O$10</f>
        <v>0</v>
      </c>
      <c r="K402" s="149" t="n">
        <f aca="false">'W Programs'!$N$10</f>
        <v>1</v>
      </c>
      <c r="L402" s="81" t="n">
        <f aca="false">H402*K402+H374*(1-K402)</f>
        <v>56250</v>
      </c>
      <c r="M402" s="81" t="n">
        <f aca="false">L402*'W Programs'!$M$10*'W Programs'!$O$10</f>
        <v>0</v>
      </c>
      <c r="N402" s="81" t="n">
        <f aca="false">I402*'W Assumptions'!$D$55+I388*(1-'W Assumptions'!$D$55)</f>
        <v>9000</v>
      </c>
      <c r="O402" s="81" t="n">
        <f aca="false">H402-I402-J402</f>
        <v>47250</v>
      </c>
    </row>
    <row r="403" customFormat="false" ht="21" hidden="false" customHeight="true" outlineLevel="0" collapsed="false">
      <c r="C403" s="144" t="n">
        <f aca="false">47119</f>
        <v>47119</v>
      </c>
      <c r="D403" s="81" t="n">
        <f aca="false">3</f>
        <v>3</v>
      </c>
      <c r="E403" s="81" t="str">
        <f aca="false">'W Programs'!C11</f>
        <v>TLI</v>
      </c>
      <c r="F403" s="81" t="str">
        <f aca="false">'W Programs'!D11</f>
        <v>Retail</v>
      </c>
      <c r="G403" s="145" t="n">
        <f aca="false">INDEX('W Programs'!$F$11:$H$11,1,D403)*INDEX('W Assumptions'!$D$7:$F$7,1,D403)*'W Assumptions'!F99/SUM('W Assumptions'!F$95:F$106)</f>
        <v>337.5</v>
      </c>
      <c r="H403" s="81" t="n">
        <f aca="false">G403*INDEX('W Programs'!$I$11:$K$11,1,D403)*INDEX('W Assumptions'!$D$12:$F$12,1,D403)</f>
        <v>87750</v>
      </c>
      <c r="I403" s="81" t="n">
        <f aca="false">H403*CHOOSE(D403,'W Programs'!L11,'W Programs'!Q11,'W Programs'!R11)*INDEX('W Assumptions'!$D$17:$F$17,1,D403)</f>
        <v>42120</v>
      </c>
      <c r="J403" s="81" t="n">
        <f aca="false">H403*'W Programs'!$M$11*'W Programs'!$O$11</f>
        <v>0</v>
      </c>
      <c r="K403" s="149" t="n">
        <f aca="false">'W Programs'!$N$11</f>
        <v>1</v>
      </c>
      <c r="L403" s="81" t="n">
        <f aca="false">H403*K403+H375*(1-K403)</f>
        <v>87750</v>
      </c>
      <c r="M403" s="81" t="n">
        <f aca="false">L403*'W Programs'!$M$11*'W Programs'!$O$11</f>
        <v>0</v>
      </c>
      <c r="N403" s="81" t="n">
        <f aca="false">I403*'W Assumptions'!$D$55+I389*(1-'W Assumptions'!$D$55)</f>
        <v>42120</v>
      </c>
      <c r="O403" s="81" t="n">
        <f aca="false">H403-I403-J403</f>
        <v>45630</v>
      </c>
    </row>
    <row r="404" customFormat="false" ht="21" hidden="false" customHeight="true" outlineLevel="0" collapsed="false">
      <c r="C404" s="144" t="n">
        <f aca="false">47119</f>
        <v>47119</v>
      </c>
      <c r="D404" s="81" t="n">
        <f aca="false">3</f>
        <v>3</v>
      </c>
      <c r="E404" s="81" t="str">
        <f aca="false">'W Programs'!C12</f>
        <v>TLI</v>
      </c>
      <c r="F404" s="81" t="str">
        <f aca="false">'W Programs'!D12</f>
        <v>Licensing</v>
      </c>
      <c r="G404" s="145" t="n">
        <f aca="false">INDEX('W Programs'!$F$12:$H$12,1,D404)*INDEX('W Assumptions'!$D$7:$F$7,1,D404)*'W Assumptions'!F99/SUM('W Assumptions'!F$95:F$106)</f>
        <v>0.0375</v>
      </c>
      <c r="H404" s="81" t="n">
        <f aca="false">G404*INDEX('W Programs'!$I$12:$K$12,1,D404)*INDEX('W Assumptions'!$D$12:$F$12,1,D404)</f>
        <v>30000</v>
      </c>
      <c r="I404" s="81" t="n">
        <f aca="false">H404*CHOOSE(D404,'W Programs'!L12,'W Programs'!Q12,'W Programs'!R12)*INDEX('W Assumptions'!$D$17:$F$17,1,D404)</f>
        <v>3000</v>
      </c>
      <c r="J404" s="81" t="n">
        <f aca="false">H404*'W Programs'!$M$12*'W Programs'!$O$12</f>
        <v>0</v>
      </c>
      <c r="K404" s="149" t="n">
        <f aca="false">'W Programs'!$N$12</f>
        <v>0.3</v>
      </c>
      <c r="L404" s="81" t="n">
        <f aca="false">H404*K404+H376*(1-K404)</f>
        <v>30000</v>
      </c>
      <c r="M404" s="81" t="n">
        <f aca="false">L404*'W Programs'!$M$12*'W Programs'!$O$12</f>
        <v>0</v>
      </c>
      <c r="N404" s="81" t="n">
        <f aca="false">I404*'W Assumptions'!$D$55+I390*(1-'W Assumptions'!$D$55)</f>
        <v>3000</v>
      </c>
      <c r="O404" s="81" t="n">
        <f aca="false">H404-I404-J404</f>
        <v>27000</v>
      </c>
    </row>
    <row r="405" customFormat="false" ht="21" hidden="false" customHeight="true" outlineLevel="0" collapsed="false">
      <c r="C405" s="144" t="n">
        <f aca="false">47119</f>
        <v>47119</v>
      </c>
      <c r="D405" s="81" t="n">
        <f aca="false">3</f>
        <v>3</v>
      </c>
      <c r="E405" s="81" t="str">
        <f aca="false">'W Programs'!C13</f>
        <v>WOO IP</v>
      </c>
      <c r="F405" s="81" t="str">
        <f aca="false">'W Programs'!D13</f>
        <v>Schools</v>
      </c>
      <c r="G405" s="145" t="n">
        <f aca="false">INDEX('W Programs'!$F$13:$H$13,1,D405)*INDEX('W Assumptions'!$D$7:$F$7,1,D405)*'W Assumptions'!F99/SUM('W Assumptions'!F$95:F$106)</f>
        <v>1.14583333333333</v>
      </c>
      <c r="H405" s="81" t="n">
        <f aca="false">G405*INDEX('W Programs'!$I$13:$K$13,1,D405)*INDEX('W Assumptions'!$D$12:$F$12,1,D405)</f>
        <v>217708.333333333</v>
      </c>
      <c r="I405" s="81" t="n">
        <f aca="false">H405*CHOOSE(D405,'W Programs'!L13,'W Programs'!Q13,'W Programs'!R13)*INDEX('W Assumptions'!$D$17:$F$17,1,D405)</f>
        <v>82729.1666666667</v>
      </c>
      <c r="J405" s="81" t="n">
        <f aca="false">H405*'W Programs'!$M$13*'W Programs'!$O$13</f>
        <v>0</v>
      </c>
      <c r="K405" s="149" t="n">
        <f aca="false">'W Programs'!$N$13</f>
        <v>0.3</v>
      </c>
      <c r="L405" s="81" t="n">
        <f aca="false">H405*K405+H377*(1-K405)</f>
        <v>217708.333333333</v>
      </c>
      <c r="M405" s="81" t="n">
        <f aca="false">L405*'W Programs'!$M$13*'W Programs'!$O$13</f>
        <v>0</v>
      </c>
      <c r="N405" s="81" t="n">
        <f aca="false">I405*'W Assumptions'!$D$55+I391*(1-'W Assumptions'!$D$55)</f>
        <v>82729.1666666667</v>
      </c>
      <c r="O405" s="81" t="n">
        <f aca="false">H405-I405-J405</f>
        <v>134979.166666667</v>
      </c>
    </row>
    <row r="406" customFormat="false" ht="21" hidden="false" customHeight="true" outlineLevel="0" collapsed="false">
      <c r="C406" s="144" t="n">
        <f aca="false">47119</f>
        <v>47119</v>
      </c>
      <c r="D406" s="81" t="n">
        <f aca="false">3</f>
        <v>3</v>
      </c>
      <c r="E406" s="81" t="str">
        <f aca="false">'W Programs'!C14</f>
        <v>WOO IP</v>
      </c>
      <c r="F406" s="81" t="str">
        <f aca="false">'W Programs'!D14</f>
        <v>Activations</v>
      </c>
      <c r="G406" s="145" t="n">
        <f aca="false">INDEX('W Programs'!$F$14:$H$14,1,D406)*INDEX('W Assumptions'!$D$7:$F$7,1,D406)*'W Assumptions'!F99/SUM('W Assumptions'!F$95:F$106)</f>
        <v>1.375</v>
      </c>
      <c r="H406" s="81" t="n">
        <f aca="false">G406*INDEX('W Programs'!$I$14:$K$14,1,D406)*INDEX('W Assumptions'!$D$12:$F$12,1,D406)</f>
        <v>116875</v>
      </c>
      <c r="I406" s="81" t="n">
        <f aca="false">H406*CHOOSE(D406,'W Programs'!L14,'W Programs'!Q14,'W Programs'!R14)*INDEX('W Assumptions'!$D$17:$F$17,1,D406)</f>
        <v>58437.5</v>
      </c>
      <c r="J406" s="81" t="n">
        <f aca="false">H406*'W Programs'!$M$14*'W Programs'!$O$14</f>
        <v>0</v>
      </c>
      <c r="K406" s="149" t="n">
        <f aca="false">'W Programs'!$N$14</f>
        <v>0.3</v>
      </c>
      <c r="L406" s="81" t="n">
        <f aca="false">H406*K406+H378*(1-K406)</f>
        <v>116875</v>
      </c>
      <c r="M406" s="81" t="n">
        <f aca="false">L406*'W Programs'!$M$14*'W Programs'!$O$14</f>
        <v>0</v>
      </c>
      <c r="N406" s="81" t="n">
        <f aca="false">I406*'W Assumptions'!$D$55+I392*(1-'W Assumptions'!$D$55)</f>
        <v>58437.5</v>
      </c>
      <c r="O406" s="81" t="n">
        <f aca="false">H406-I406-J406</f>
        <v>58437.5</v>
      </c>
    </row>
    <row r="407" customFormat="false" ht="21" hidden="false" customHeight="true" outlineLevel="0" collapsed="false">
      <c r="C407" s="144" t="n">
        <f aca="false">47119</f>
        <v>47119</v>
      </c>
      <c r="D407" s="81" t="n">
        <f aca="false">3</f>
        <v>3</v>
      </c>
      <c r="E407" s="81" t="str">
        <f aca="false">'W Programs'!C15</f>
        <v>WOO IP</v>
      </c>
      <c r="F407" s="81" t="str">
        <f aca="false">'W Programs'!D15</f>
        <v>Workshops</v>
      </c>
      <c r="G407" s="145" t="n">
        <f aca="false">INDEX('W Programs'!$F$15:$H$15,1,D407)*INDEX('W Assumptions'!$D$7:$F$7,1,D407)*'W Assumptions'!F99/SUM('W Assumptions'!F$95:F$106)</f>
        <v>11.9166666666667</v>
      </c>
      <c r="H407" s="81" t="n">
        <f aca="false">G407*INDEX('W Programs'!$I$15:$K$15,1,D407)*INDEX('W Assumptions'!$D$12:$F$12,1,D407)</f>
        <v>65541.6666666667</v>
      </c>
      <c r="I407" s="81" t="n">
        <f aca="false">H407*CHOOSE(D407,'W Programs'!L15,'W Programs'!Q15,'W Programs'!R15)*INDEX('W Assumptions'!$D$17:$F$17,1,D407)</f>
        <v>26216.6666666667</v>
      </c>
      <c r="J407" s="81" t="n">
        <f aca="false">H407*'W Programs'!$M$15*'W Programs'!$O$15</f>
        <v>0</v>
      </c>
      <c r="K407" s="149" t="n">
        <f aca="false">'W Programs'!$N$15</f>
        <v>0.7</v>
      </c>
      <c r="L407" s="81" t="n">
        <f aca="false">H407*K407+H379*(1-K407)</f>
        <v>65541.6666666667</v>
      </c>
      <c r="M407" s="81" t="n">
        <f aca="false">L407*'W Programs'!$M$15*'W Programs'!$O$15</f>
        <v>0</v>
      </c>
      <c r="N407" s="81" t="n">
        <f aca="false">I407*'W Assumptions'!$D$55+I393*(1-'W Assumptions'!$D$55)</f>
        <v>26216.6666666667</v>
      </c>
      <c r="O407" s="81" t="n">
        <f aca="false">H407-I407-J407</f>
        <v>39325</v>
      </c>
    </row>
    <row r="408" customFormat="false" ht="21" hidden="false" customHeight="true" outlineLevel="0" collapsed="false">
      <c r="C408" s="144" t="n">
        <f aca="false">47119</f>
        <v>47119</v>
      </c>
      <c r="D408" s="81" t="n">
        <f aca="false">3</f>
        <v>3</v>
      </c>
      <c r="E408" s="81" t="str">
        <f aca="false">'W Programs'!C16</f>
        <v>WOO IP</v>
      </c>
      <c r="F408" s="81" t="str">
        <f aca="false">'W Programs'!D16</f>
        <v>Installations</v>
      </c>
      <c r="G408" s="145" t="n">
        <f aca="false">INDEX('W Programs'!$F$16:$H$16,1,D408)*INDEX('W Assumptions'!$D$7:$F$7,1,D408)*'W Assumptions'!F99/SUM('W Assumptions'!F$95:F$106)</f>
        <v>0.229166666666667</v>
      </c>
      <c r="H408" s="81" t="n">
        <f aca="false">G408*INDEX('W Programs'!$I$16:$K$16,1,D408)*INDEX('W Assumptions'!$D$12:$F$12,1,D408)</f>
        <v>75625</v>
      </c>
      <c r="I408" s="81" t="n">
        <f aca="false">H408*CHOOSE(D408,'W Programs'!L16,'W Programs'!Q16,'W Programs'!R16)*INDEX('W Assumptions'!$D$17:$F$17,1,D408)</f>
        <v>43862.5</v>
      </c>
      <c r="J408" s="81" t="n">
        <f aca="false">H408*'W Programs'!$M$16*'W Programs'!$O$16</f>
        <v>0</v>
      </c>
      <c r="K408" s="149" t="n">
        <f aca="false">'W Programs'!$N$16</f>
        <v>0.3</v>
      </c>
      <c r="L408" s="81" t="n">
        <f aca="false">H408*K408+H380*(1-K408)</f>
        <v>75625</v>
      </c>
      <c r="M408" s="81" t="n">
        <f aca="false">L408*'W Programs'!$M$16*'W Programs'!$O$16</f>
        <v>0</v>
      </c>
      <c r="N408" s="81" t="n">
        <f aca="false">I408*'W Assumptions'!$D$55+I394*(1-'W Assumptions'!$D$55)</f>
        <v>43862.5</v>
      </c>
      <c r="O408" s="81" t="n">
        <f aca="false">H408-I408-J408</f>
        <v>31762.5</v>
      </c>
    </row>
    <row r="409" customFormat="false" ht="21" hidden="false" customHeight="true" outlineLevel="0" collapsed="false">
      <c r="C409" s="144" t="n">
        <f aca="false">47119</f>
        <v>47119</v>
      </c>
      <c r="D409" s="81" t="n">
        <f aca="false">3</f>
        <v>3</v>
      </c>
      <c r="E409" s="81" t="str">
        <f aca="false">'W Programs'!C17</f>
        <v>WOO IP</v>
      </c>
      <c r="F409" s="81" t="str">
        <f aca="false">'W Programs'!D17</f>
        <v>Digital</v>
      </c>
      <c r="G409" s="145" t="n">
        <f aca="false">INDEX('W Programs'!$F$17:$H$17,1,D409)*INDEX('W Assumptions'!$D$7:$F$7,1,D409)*'W Assumptions'!F99/SUM('W Assumptions'!F$95:F$106)</f>
        <v>183.333333333333</v>
      </c>
      <c r="H409" s="81" t="n">
        <f aca="false">G409*INDEX('W Programs'!$I$17:$K$17,1,D409)*INDEX('W Assumptions'!$D$12:$F$12,1,D409)</f>
        <v>68750</v>
      </c>
      <c r="I409" s="81" t="n">
        <f aca="false">H409*CHOOSE(D409,'W Programs'!L17,'W Programs'!Q17,'W Programs'!R17)*INDEX('W Assumptions'!$D$17:$F$17,1,D409)</f>
        <v>11000</v>
      </c>
      <c r="J409" s="81" t="n">
        <f aca="false">H409*'W Programs'!$M$17*'W Programs'!$O$17</f>
        <v>0</v>
      </c>
      <c r="K409" s="149" t="n">
        <f aca="false">'W Programs'!$N$17</f>
        <v>1</v>
      </c>
      <c r="L409" s="81" t="n">
        <f aca="false">H409*K409+H381*(1-K409)</f>
        <v>68750</v>
      </c>
      <c r="M409" s="81" t="n">
        <f aca="false">L409*'W Programs'!$M$17*'W Programs'!$O$17</f>
        <v>0</v>
      </c>
      <c r="N409" s="81" t="n">
        <f aca="false">I409*'W Assumptions'!$D$55+I395*(1-'W Assumptions'!$D$55)</f>
        <v>11000</v>
      </c>
      <c r="O409" s="81" t="n">
        <f aca="false">H409-I409-J409</f>
        <v>57750</v>
      </c>
    </row>
    <row r="410" customFormat="false" ht="21" hidden="false" customHeight="true" outlineLevel="0" collapsed="false">
      <c r="C410" s="144" t="n">
        <f aca="false">47119</f>
        <v>47119</v>
      </c>
      <c r="D410" s="81" t="n">
        <f aca="false">3</f>
        <v>3</v>
      </c>
      <c r="E410" s="81" t="str">
        <f aca="false">'W Programs'!C18</f>
        <v>WOO IP</v>
      </c>
      <c r="F410" s="81" t="str">
        <f aca="false">'W Programs'!D18</f>
        <v>Retail</v>
      </c>
      <c r="G410" s="145" t="n">
        <f aca="false">INDEX('W Programs'!$F$18:$H$18,1,D410)*INDEX('W Assumptions'!$D$7:$F$7,1,D410)*'W Assumptions'!F99/SUM('W Assumptions'!F$95:F$106)</f>
        <v>412.5</v>
      </c>
      <c r="H410" s="81" t="n">
        <f aca="false">G410*INDEX('W Programs'!$I$18:$K$18,1,D410)*INDEX('W Assumptions'!$D$12:$F$12,1,D410)</f>
        <v>107250</v>
      </c>
      <c r="I410" s="81" t="n">
        <f aca="false">H410*CHOOSE(D410,'W Programs'!L18,'W Programs'!Q18,'W Programs'!R18)*INDEX('W Assumptions'!$D$17:$F$17,1,D410)</f>
        <v>51480</v>
      </c>
      <c r="J410" s="81" t="n">
        <f aca="false">H410*'W Programs'!$M$18*'W Programs'!$O$18</f>
        <v>0</v>
      </c>
      <c r="K410" s="149" t="n">
        <f aca="false">'W Programs'!$N$18</f>
        <v>1</v>
      </c>
      <c r="L410" s="81" t="n">
        <f aca="false">H410*K410+H382*(1-K410)</f>
        <v>107250</v>
      </c>
      <c r="M410" s="81" t="n">
        <f aca="false">L410*'W Programs'!$M$18*'W Programs'!$O$18</f>
        <v>0</v>
      </c>
      <c r="N410" s="81" t="n">
        <f aca="false">I410*'W Assumptions'!$D$55+I396*(1-'W Assumptions'!$D$55)</f>
        <v>51480</v>
      </c>
      <c r="O410" s="81" t="n">
        <f aca="false">H410-I410-J410</f>
        <v>55770</v>
      </c>
    </row>
    <row r="411" customFormat="false" ht="21" hidden="false" customHeight="true" outlineLevel="0" collapsed="false">
      <c r="C411" s="144" t="n">
        <f aca="false">47119</f>
        <v>47119</v>
      </c>
      <c r="D411" s="81" t="n">
        <f aca="false">3</f>
        <v>3</v>
      </c>
      <c r="E411" s="81" t="str">
        <f aca="false">'W Programs'!C19</f>
        <v>WOO IP</v>
      </c>
      <c r="F411" s="81" t="str">
        <f aca="false">'W Programs'!D19</f>
        <v>Licensing</v>
      </c>
      <c r="G411" s="145" t="n">
        <f aca="false">INDEX('W Programs'!$F$19:$H$19,1,D411)*INDEX('W Assumptions'!$D$7:$F$7,1,D411)*'W Assumptions'!F99/SUM('W Assumptions'!F$95:F$106)</f>
        <v>0.0458333333333333</v>
      </c>
      <c r="H411" s="81" t="n">
        <f aca="false">G411*INDEX('W Programs'!$I$19:$K$19,1,D411)*INDEX('W Assumptions'!$D$12:$F$12,1,D411)</f>
        <v>36666.6666666667</v>
      </c>
      <c r="I411" s="81" t="n">
        <f aca="false">H411*CHOOSE(D411,'W Programs'!L19,'W Programs'!Q19,'W Programs'!R19)*INDEX('W Assumptions'!$D$17:$F$17,1,D411)</f>
        <v>3666.66666666667</v>
      </c>
      <c r="J411" s="81" t="n">
        <f aca="false">H411*'W Programs'!$M$19*'W Programs'!$O$19</f>
        <v>0</v>
      </c>
      <c r="K411" s="149" t="n">
        <f aca="false">'W Programs'!$N$19</f>
        <v>0.3</v>
      </c>
      <c r="L411" s="81" t="n">
        <f aca="false">H411*K411+H383*(1-K411)</f>
        <v>36666.6666666667</v>
      </c>
      <c r="M411" s="81" t="n">
        <f aca="false">L411*'W Programs'!$M$19*'W Programs'!$O$19</f>
        <v>0</v>
      </c>
      <c r="N411" s="81" t="n">
        <f aca="false">I411*'W Assumptions'!$D$55+I397*(1-'W Assumptions'!$D$55)</f>
        <v>3666.66666666667</v>
      </c>
      <c r="O411" s="81" t="n">
        <f aca="false">H411-I411-J411</f>
        <v>33000</v>
      </c>
    </row>
    <row r="412" customFormat="false" ht="21" hidden="false" customHeight="true" outlineLevel="0" collapsed="false">
      <c r="C412" s="144" t="n">
        <f aca="false">47150</f>
        <v>47150</v>
      </c>
      <c r="D412" s="81" t="n">
        <f aca="false">3</f>
        <v>3</v>
      </c>
      <c r="E412" s="81" t="str">
        <f aca="false">'W Programs'!C6</f>
        <v>TLI</v>
      </c>
      <c r="F412" s="81" t="str">
        <f aca="false">'W Programs'!D6</f>
        <v>Schools</v>
      </c>
      <c r="G412" s="145" t="n">
        <f aca="false">INDEX('W Programs'!$F$6:$H$6,1,D412)*INDEX('W Assumptions'!$D$7:$F$7,1,D412)*'W Assumptions'!F100/SUM('W Assumptions'!F$95:F$106)</f>
        <v>0.9375</v>
      </c>
      <c r="H412" s="81" t="n">
        <f aca="false">G412*INDEX('W Programs'!$I$6:$K$6,1,D412)*INDEX('W Assumptions'!$D$12:$F$12,1,D412)</f>
        <v>178125</v>
      </c>
      <c r="I412" s="81" t="n">
        <f aca="false">H412*CHOOSE(D412,'W Programs'!L6,'W Programs'!Q6,'W Programs'!R6)*INDEX('W Assumptions'!$D$17:$F$17,1,D412)</f>
        <v>67687.5</v>
      </c>
      <c r="J412" s="81" t="n">
        <f aca="false">H412*'W Programs'!$M$6*'W Programs'!$O$6</f>
        <v>0</v>
      </c>
      <c r="K412" s="149" t="n">
        <f aca="false">'W Programs'!$N$6</f>
        <v>0.3</v>
      </c>
      <c r="L412" s="81" t="n">
        <f aca="false">H412*K412+H384*(1-K412)</f>
        <v>178125</v>
      </c>
      <c r="M412" s="81" t="n">
        <f aca="false">L412*'W Programs'!$M$6*'W Programs'!$O$6</f>
        <v>0</v>
      </c>
      <c r="N412" s="81" t="n">
        <f aca="false">I412*'W Assumptions'!$D$55+I398*(1-'W Assumptions'!$D$55)</f>
        <v>67687.5</v>
      </c>
      <c r="O412" s="81" t="n">
        <f aca="false">H412-I412-J412</f>
        <v>110437.5</v>
      </c>
    </row>
    <row r="413" customFormat="false" ht="21" hidden="false" customHeight="true" outlineLevel="0" collapsed="false">
      <c r="C413" s="144" t="n">
        <f aca="false">47150</f>
        <v>47150</v>
      </c>
      <c r="D413" s="81" t="n">
        <f aca="false">3</f>
        <v>3</v>
      </c>
      <c r="E413" s="81" t="str">
        <f aca="false">'W Programs'!C7</f>
        <v>TLI</v>
      </c>
      <c r="F413" s="81" t="str">
        <f aca="false">'W Programs'!D7</f>
        <v>Activations</v>
      </c>
      <c r="G413" s="145" t="n">
        <f aca="false">INDEX('W Programs'!$F$7:$H$7,1,D413)*INDEX('W Assumptions'!$D$7:$F$7,1,D413)*'W Assumptions'!F100/SUM('W Assumptions'!F$95:F$106)</f>
        <v>1.125</v>
      </c>
      <c r="H413" s="81" t="n">
        <f aca="false">G413*INDEX('W Programs'!$I$7:$K$7,1,D413)*INDEX('W Assumptions'!$D$12:$F$12,1,D413)</f>
        <v>95625</v>
      </c>
      <c r="I413" s="81" t="n">
        <f aca="false">H413*CHOOSE(D413,'W Programs'!L7,'W Programs'!Q7,'W Programs'!R7)*INDEX('W Assumptions'!$D$17:$F$17,1,D413)</f>
        <v>47812.5</v>
      </c>
      <c r="J413" s="81" t="n">
        <f aca="false">H413*'W Programs'!$M$7*'W Programs'!$O$7</f>
        <v>0</v>
      </c>
      <c r="K413" s="149" t="n">
        <f aca="false">'W Programs'!$N$7</f>
        <v>0.3</v>
      </c>
      <c r="L413" s="81" t="n">
        <f aca="false">H413*K413+H385*(1-K413)</f>
        <v>95625</v>
      </c>
      <c r="M413" s="81" t="n">
        <f aca="false">L413*'W Programs'!$M$7*'W Programs'!$O$7</f>
        <v>0</v>
      </c>
      <c r="N413" s="81" t="n">
        <f aca="false">I413*'W Assumptions'!$D$55+I399*(1-'W Assumptions'!$D$55)</f>
        <v>47812.5</v>
      </c>
      <c r="O413" s="81" t="n">
        <f aca="false">H413-I413-J413</f>
        <v>47812.5</v>
      </c>
    </row>
    <row r="414" customFormat="false" ht="21" hidden="false" customHeight="true" outlineLevel="0" collapsed="false">
      <c r="C414" s="144" t="n">
        <f aca="false">47150</f>
        <v>47150</v>
      </c>
      <c r="D414" s="81" t="n">
        <f aca="false">3</f>
        <v>3</v>
      </c>
      <c r="E414" s="81" t="str">
        <f aca="false">'W Programs'!C8</f>
        <v>TLI</v>
      </c>
      <c r="F414" s="81" t="str">
        <f aca="false">'W Programs'!D8</f>
        <v>Workshops</v>
      </c>
      <c r="G414" s="145" t="n">
        <f aca="false">INDEX('W Programs'!$F$8:$H$8,1,D414)*INDEX('W Assumptions'!$D$7:$F$7,1,D414)*'W Assumptions'!F100/SUM('W Assumptions'!F$95:F$106)</f>
        <v>9.75</v>
      </c>
      <c r="H414" s="81" t="n">
        <f aca="false">G414*INDEX('W Programs'!$I$8:$K$8,1,D414)*INDEX('W Assumptions'!$D$12:$F$12,1,D414)</f>
        <v>53625</v>
      </c>
      <c r="I414" s="81" t="n">
        <f aca="false">H414*CHOOSE(D414,'W Programs'!L8,'W Programs'!Q8,'W Programs'!R8)*INDEX('W Assumptions'!$D$17:$F$17,1,D414)</f>
        <v>21450</v>
      </c>
      <c r="J414" s="81" t="n">
        <f aca="false">H414*'W Programs'!$M$8*'W Programs'!$O$8</f>
        <v>0</v>
      </c>
      <c r="K414" s="149" t="n">
        <f aca="false">'W Programs'!$N$8</f>
        <v>0.7</v>
      </c>
      <c r="L414" s="81" t="n">
        <f aca="false">H414*K414+H386*(1-K414)</f>
        <v>53625</v>
      </c>
      <c r="M414" s="81" t="n">
        <f aca="false">L414*'W Programs'!$M$8*'W Programs'!$O$8</f>
        <v>0</v>
      </c>
      <c r="N414" s="81" t="n">
        <f aca="false">I414*'W Assumptions'!$D$55+I400*(1-'W Assumptions'!$D$55)</f>
        <v>21450</v>
      </c>
      <c r="O414" s="81" t="n">
        <f aca="false">H414-I414-J414</f>
        <v>32175</v>
      </c>
    </row>
    <row r="415" customFormat="false" ht="21" hidden="false" customHeight="true" outlineLevel="0" collapsed="false">
      <c r="C415" s="144" t="n">
        <f aca="false">47150</f>
        <v>47150</v>
      </c>
      <c r="D415" s="81" t="n">
        <f aca="false">3</f>
        <v>3</v>
      </c>
      <c r="E415" s="81" t="str">
        <f aca="false">'W Programs'!C9</f>
        <v>TLI</v>
      </c>
      <c r="F415" s="81" t="str">
        <f aca="false">'W Programs'!D9</f>
        <v>Installations</v>
      </c>
      <c r="G415" s="145" t="n">
        <f aca="false">INDEX('W Programs'!$F$9:$H$9,1,D415)*INDEX('W Assumptions'!$D$7:$F$7,1,D415)*'W Assumptions'!F100/SUM('W Assumptions'!F$95:F$106)</f>
        <v>0.1875</v>
      </c>
      <c r="H415" s="81" t="n">
        <f aca="false">G415*INDEX('W Programs'!$I$9:$K$9,1,D415)*INDEX('W Assumptions'!$D$12:$F$12,1,D415)</f>
        <v>61875</v>
      </c>
      <c r="I415" s="81" t="n">
        <f aca="false">H415*CHOOSE(D415,'W Programs'!L9,'W Programs'!Q9,'W Programs'!R9)*INDEX('W Assumptions'!$D$17:$F$17,1,D415)</f>
        <v>35887.5</v>
      </c>
      <c r="J415" s="81" t="n">
        <f aca="false">H415*'W Programs'!$M$9*'W Programs'!$O$9</f>
        <v>0</v>
      </c>
      <c r="K415" s="149" t="n">
        <f aca="false">'W Programs'!$N$9</f>
        <v>0.3</v>
      </c>
      <c r="L415" s="81" t="n">
        <f aca="false">H415*K415+H387*(1-K415)</f>
        <v>61875</v>
      </c>
      <c r="M415" s="81" t="n">
        <f aca="false">L415*'W Programs'!$M$9*'W Programs'!$O$9</f>
        <v>0</v>
      </c>
      <c r="N415" s="81" t="n">
        <f aca="false">I415*'W Assumptions'!$D$55+I401*(1-'W Assumptions'!$D$55)</f>
        <v>35887.5</v>
      </c>
      <c r="O415" s="81" t="n">
        <f aca="false">H415-I415-J415</f>
        <v>25987.5</v>
      </c>
    </row>
    <row r="416" customFormat="false" ht="21" hidden="false" customHeight="true" outlineLevel="0" collapsed="false">
      <c r="C416" s="144" t="n">
        <f aca="false">47150</f>
        <v>47150</v>
      </c>
      <c r="D416" s="81" t="n">
        <f aca="false">3</f>
        <v>3</v>
      </c>
      <c r="E416" s="81" t="str">
        <f aca="false">'W Programs'!C10</f>
        <v>TLI</v>
      </c>
      <c r="F416" s="81" t="str">
        <f aca="false">'W Programs'!D10</f>
        <v>Digital</v>
      </c>
      <c r="G416" s="145" t="n">
        <f aca="false">INDEX('W Programs'!$F$10:$H$10,1,D416)*INDEX('W Assumptions'!$D$7:$F$7,1,D416)*'W Assumptions'!F100/SUM('W Assumptions'!F$95:F$106)</f>
        <v>150</v>
      </c>
      <c r="H416" s="81" t="n">
        <f aca="false">G416*INDEX('W Programs'!$I$10:$K$10,1,D416)*INDEX('W Assumptions'!$D$12:$F$12,1,D416)</f>
        <v>56250</v>
      </c>
      <c r="I416" s="81" t="n">
        <f aca="false">H416*CHOOSE(D416,'W Programs'!L10,'W Programs'!Q10,'W Programs'!R10)*INDEX('W Assumptions'!$D$17:$F$17,1,D416)</f>
        <v>9000</v>
      </c>
      <c r="J416" s="81" t="n">
        <f aca="false">H416*'W Programs'!$M$10*'W Programs'!$O$10</f>
        <v>0</v>
      </c>
      <c r="K416" s="149" t="n">
        <f aca="false">'W Programs'!$N$10</f>
        <v>1</v>
      </c>
      <c r="L416" s="81" t="n">
        <f aca="false">H416*K416+H388*(1-K416)</f>
        <v>56250</v>
      </c>
      <c r="M416" s="81" t="n">
        <f aca="false">L416*'W Programs'!$M$10*'W Programs'!$O$10</f>
        <v>0</v>
      </c>
      <c r="N416" s="81" t="n">
        <f aca="false">I416*'W Assumptions'!$D$55+I402*(1-'W Assumptions'!$D$55)</f>
        <v>9000</v>
      </c>
      <c r="O416" s="81" t="n">
        <f aca="false">H416-I416-J416</f>
        <v>47250</v>
      </c>
    </row>
    <row r="417" customFormat="false" ht="21" hidden="false" customHeight="true" outlineLevel="0" collapsed="false">
      <c r="C417" s="144" t="n">
        <f aca="false">47150</f>
        <v>47150</v>
      </c>
      <c r="D417" s="81" t="n">
        <f aca="false">3</f>
        <v>3</v>
      </c>
      <c r="E417" s="81" t="str">
        <f aca="false">'W Programs'!C11</f>
        <v>TLI</v>
      </c>
      <c r="F417" s="81" t="str">
        <f aca="false">'W Programs'!D11</f>
        <v>Retail</v>
      </c>
      <c r="G417" s="145" t="n">
        <f aca="false">INDEX('W Programs'!$F$11:$H$11,1,D417)*INDEX('W Assumptions'!$D$7:$F$7,1,D417)*'W Assumptions'!F100/SUM('W Assumptions'!F$95:F$106)</f>
        <v>337.5</v>
      </c>
      <c r="H417" s="81" t="n">
        <f aca="false">G417*INDEX('W Programs'!$I$11:$K$11,1,D417)*INDEX('W Assumptions'!$D$12:$F$12,1,D417)</f>
        <v>87750</v>
      </c>
      <c r="I417" s="81" t="n">
        <f aca="false">H417*CHOOSE(D417,'W Programs'!L11,'W Programs'!Q11,'W Programs'!R11)*INDEX('W Assumptions'!$D$17:$F$17,1,D417)</f>
        <v>42120</v>
      </c>
      <c r="J417" s="81" t="n">
        <f aca="false">H417*'W Programs'!$M$11*'W Programs'!$O$11</f>
        <v>0</v>
      </c>
      <c r="K417" s="149" t="n">
        <f aca="false">'W Programs'!$N$11</f>
        <v>1</v>
      </c>
      <c r="L417" s="81" t="n">
        <f aca="false">H417*K417+H389*(1-K417)</f>
        <v>87750</v>
      </c>
      <c r="M417" s="81" t="n">
        <f aca="false">L417*'W Programs'!$M$11*'W Programs'!$O$11</f>
        <v>0</v>
      </c>
      <c r="N417" s="81" t="n">
        <f aca="false">I417*'W Assumptions'!$D$55+I403*(1-'W Assumptions'!$D$55)</f>
        <v>42120</v>
      </c>
      <c r="O417" s="81" t="n">
        <f aca="false">H417-I417-J417</f>
        <v>45630</v>
      </c>
    </row>
    <row r="418" customFormat="false" ht="21" hidden="false" customHeight="true" outlineLevel="0" collapsed="false">
      <c r="C418" s="144" t="n">
        <f aca="false">47150</f>
        <v>47150</v>
      </c>
      <c r="D418" s="81" t="n">
        <f aca="false">3</f>
        <v>3</v>
      </c>
      <c r="E418" s="81" t="str">
        <f aca="false">'W Programs'!C12</f>
        <v>TLI</v>
      </c>
      <c r="F418" s="81" t="str">
        <f aca="false">'W Programs'!D12</f>
        <v>Licensing</v>
      </c>
      <c r="G418" s="145" t="n">
        <f aca="false">INDEX('W Programs'!$F$12:$H$12,1,D418)*INDEX('W Assumptions'!$D$7:$F$7,1,D418)*'W Assumptions'!F100/SUM('W Assumptions'!F$95:F$106)</f>
        <v>0.0375</v>
      </c>
      <c r="H418" s="81" t="n">
        <f aca="false">G418*INDEX('W Programs'!$I$12:$K$12,1,D418)*INDEX('W Assumptions'!$D$12:$F$12,1,D418)</f>
        <v>30000</v>
      </c>
      <c r="I418" s="81" t="n">
        <f aca="false">H418*CHOOSE(D418,'W Programs'!L12,'W Programs'!Q12,'W Programs'!R12)*INDEX('W Assumptions'!$D$17:$F$17,1,D418)</f>
        <v>3000</v>
      </c>
      <c r="J418" s="81" t="n">
        <f aca="false">H418*'W Programs'!$M$12*'W Programs'!$O$12</f>
        <v>0</v>
      </c>
      <c r="K418" s="149" t="n">
        <f aca="false">'W Programs'!$N$12</f>
        <v>0.3</v>
      </c>
      <c r="L418" s="81" t="n">
        <f aca="false">H418*K418+H390*(1-K418)</f>
        <v>30000</v>
      </c>
      <c r="M418" s="81" t="n">
        <f aca="false">L418*'W Programs'!$M$12*'W Programs'!$O$12</f>
        <v>0</v>
      </c>
      <c r="N418" s="81" t="n">
        <f aca="false">I418*'W Assumptions'!$D$55+I404*(1-'W Assumptions'!$D$55)</f>
        <v>3000</v>
      </c>
      <c r="O418" s="81" t="n">
        <f aca="false">H418-I418-J418</f>
        <v>27000</v>
      </c>
    </row>
    <row r="419" customFormat="false" ht="21" hidden="false" customHeight="true" outlineLevel="0" collapsed="false">
      <c r="C419" s="144" t="n">
        <f aca="false">47150</f>
        <v>47150</v>
      </c>
      <c r="D419" s="81" t="n">
        <f aca="false">3</f>
        <v>3</v>
      </c>
      <c r="E419" s="81" t="str">
        <f aca="false">'W Programs'!C13</f>
        <v>WOO IP</v>
      </c>
      <c r="F419" s="81" t="str">
        <f aca="false">'W Programs'!D13</f>
        <v>Schools</v>
      </c>
      <c r="G419" s="145" t="n">
        <f aca="false">INDEX('W Programs'!$F$13:$H$13,1,D419)*INDEX('W Assumptions'!$D$7:$F$7,1,D419)*'W Assumptions'!F100/SUM('W Assumptions'!F$95:F$106)</f>
        <v>1.14583333333333</v>
      </c>
      <c r="H419" s="81" t="n">
        <f aca="false">G419*INDEX('W Programs'!$I$13:$K$13,1,D419)*INDEX('W Assumptions'!$D$12:$F$12,1,D419)</f>
        <v>217708.333333333</v>
      </c>
      <c r="I419" s="81" t="n">
        <f aca="false">H419*CHOOSE(D419,'W Programs'!L13,'W Programs'!Q13,'W Programs'!R13)*INDEX('W Assumptions'!$D$17:$F$17,1,D419)</f>
        <v>82729.1666666667</v>
      </c>
      <c r="J419" s="81" t="n">
        <f aca="false">H419*'W Programs'!$M$13*'W Programs'!$O$13</f>
        <v>0</v>
      </c>
      <c r="K419" s="149" t="n">
        <f aca="false">'W Programs'!$N$13</f>
        <v>0.3</v>
      </c>
      <c r="L419" s="81" t="n">
        <f aca="false">H419*K419+H391*(1-K419)</f>
        <v>217708.333333333</v>
      </c>
      <c r="M419" s="81" t="n">
        <f aca="false">L419*'W Programs'!$M$13*'W Programs'!$O$13</f>
        <v>0</v>
      </c>
      <c r="N419" s="81" t="n">
        <f aca="false">I419*'W Assumptions'!$D$55+I405*(1-'W Assumptions'!$D$55)</f>
        <v>82729.1666666667</v>
      </c>
      <c r="O419" s="81" t="n">
        <f aca="false">H419-I419-J419</f>
        <v>134979.166666667</v>
      </c>
    </row>
    <row r="420" customFormat="false" ht="21" hidden="false" customHeight="true" outlineLevel="0" collapsed="false">
      <c r="C420" s="144" t="n">
        <f aca="false">47150</f>
        <v>47150</v>
      </c>
      <c r="D420" s="81" t="n">
        <f aca="false">3</f>
        <v>3</v>
      </c>
      <c r="E420" s="81" t="str">
        <f aca="false">'W Programs'!C14</f>
        <v>WOO IP</v>
      </c>
      <c r="F420" s="81" t="str">
        <f aca="false">'W Programs'!D14</f>
        <v>Activations</v>
      </c>
      <c r="G420" s="145" t="n">
        <f aca="false">INDEX('W Programs'!$F$14:$H$14,1,D420)*INDEX('W Assumptions'!$D$7:$F$7,1,D420)*'W Assumptions'!F100/SUM('W Assumptions'!F$95:F$106)</f>
        <v>1.375</v>
      </c>
      <c r="H420" s="81" t="n">
        <f aca="false">G420*INDEX('W Programs'!$I$14:$K$14,1,D420)*INDEX('W Assumptions'!$D$12:$F$12,1,D420)</f>
        <v>116875</v>
      </c>
      <c r="I420" s="81" t="n">
        <f aca="false">H420*CHOOSE(D420,'W Programs'!L14,'W Programs'!Q14,'W Programs'!R14)*INDEX('W Assumptions'!$D$17:$F$17,1,D420)</f>
        <v>58437.5</v>
      </c>
      <c r="J420" s="81" t="n">
        <f aca="false">H420*'W Programs'!$M$14*'W Programs'!$O$14</f>
        <v>0</v>
      </c>
      <c r="K420" s="149" t="n">
        <f aca="false">'W Programs'!$N$14</f>
        <v>0.3</v>
      </c>
      <c r="L420" s="81" t="n">
        <f aca="false">H420*K420+H392*(1-K420)</f>
        <v>116875</v>
      </c>
      <c r="M420" s="81" t="n">
        <f aca="false">L420*'W Programs'!$M$14*'W Programs'!$O$14</f>
        <v>0</v>
      </c>
      <c r="N420" s="81" t="n">
        <f aca="false">I420*'W Assumptions'!$D$55+I406*(1-'W Assumptions'!$D$55)</f>
        <v>58437.5</v>
      </c>
      <c r="O420" s="81" t="n">
        <f aca="false">H420-I420-J420</f>
        <v>58437.5</v>
      </c>
    </row>
    <row r="421" customFormat="false" ht="21" hidden="false" customHeight="true" outlineLevel="0" collapsed="false">
      <c r="C421" s="144" t="n">
        <f aca="false">47150</f>
        <v>47150</v>
      </c>
      <c r="D421" s="81" t="n">
        <f aca="false">3</f>
        <v>3</v>
      </c>
      <c r="E421" s="81" t="str">
        <f aca="false">'W Programs'!C15</f>
        <v>WOO IP</v>
      </c>
      <c r="F421" s="81" t="str">
        <f aca="false">'W Programs'!D15</f>
        <v>Workshops</v>
      </c>
      <c r="G421" s="145" t="n">
        <f aca="false">INDEX('W Programs'!$F$15:$H$15,1,D421)*INDEX('W Assumptions'!$D$7:$F$7,1,D421)*'W Assumptions'!F100/SUM('W Assumptions'!F$95:F$106)</f>
        <v>11.9166666666667</v>
      </c>
      <c r="H421" s="81" t="n">
        <f aca="false">G421*INDEX('W Programs'!$I$15:$K$15,1,D421)*INDEX('W Assumptions'!$D$12:$F$12,1,D421)</f>
        <v>65541.6666666667</v>
      </c>
      <c r="I421" s="81" t="n">
        <f aca="false">H421*CHOOSE(D421,'W Programs'!L15,'W Programs'!Q15,'W Programs'!R15)*INDEX('W Assumptions'!$D$17:$F$17,1,D421)</f>
        <v>26216.6666666667</v>
      </c>
      <c r="J421" s="81" t="n">
        <f aca="false">H421*'W Programs'!$M$15*'W Programs'!$O$15</f>
        <v>0</v>
      </c>
      <c r="K421" s="149" t="n">
        <f aca="false">'W Programs'!$N$15</f>
        <v>0.7</v>
      </c>
      <c r="L421" s="81" t="n">
        <f aca="false">H421*K421+H393*(1-K421)</f>
        <v>65541.6666666667</v>
      </c>
      <c r="M421" s="81" t="n">
        <f aca="false">L421*'W Programs'!$M$15*'W Programs'!$O$15</f>
        <v>0</v>
      </c>
      <c r="N421" s="81" t="n">
        <f aca="false">I421*'W Assumptions'!$D$55+I407*(1-'W Assumptions'!$D$55)</f>
        <v>26216.6666666667</v>
      </c>
      <c r="O421" s="81" t="n">
        <f aca="false">H421-I421-J421</f>
        <v>39325</v>
      </c>
    </row>
    <row r="422" customFormat="false" ht="21" hidden="false" customHeight="true" outlineLevel="0" collapsed="false">
      <c r="C422" s="144" t="n">
        <f aca="false">47150</f>
        <v>47150</v>
      </c>
      <c r="D422" s="81" t="n">
        <f aca="false">3</f>
        <v>3</v>
      </c>
      <c r="E422" s="81" t="str">
        <f aca="false">'W Programs'!C16</f>
        <v>WOO IP</v>
      </c>
      <c r="F422" s="81" t="str">
        <f aca="false">'W Programs'!D16</f>
        <v>Installations</v>
      </c>
      <c r="G422" s="145" t="n">
        <f aca="false">INDEX('W Programs'!$F$16:$H$16,1,D422)*INDEX('W Assumptions'!$D$7:$F$7,1,D422)*'W Assumptions'!F100/SUM('W Assumptions'!F$95:F$106)</f>
        <v>0.229166666666667</v>
      </c>
      <c r="H422" s="81" t="n">
        <f aca="false">G422*INDEX('W Programs'!$I$16:$K$16,1,D422)*INDEX('W Assumptions'!$D$12:$F$12,1,D422)</f>
        <v>75625</v>
      </c>
      <c r="I422" s="81" t="n">
        <f aca="false">H422*CHOOSE(D422,'W Programs'!L16,'W Programs'!Q16,'W Programs'!R16)*INDEX('W Assumptions'!$D$17:$F$17,1,D422)</f>
        <v>43862.5</v>
      </c>
      <c r="J422" s="81" t="n">
        <f aca="false">H422*'W Programs'!$M$16*'W Programs'!$O$16</f>
        <v>0</v>
      </c>
      <c r="K422" s="149" t="n">
        <f aca="false">'W Programs'!$N$16</f>
        <v>0.3</v>
      </c>
      <c r="L422" s="81" t="n">
        <f aca="false">H422*K422+H394*(1-K422)</f>
        <v>75625</v>
      </c>
      <c r="M422" s="81" t="n">
        <f aca="false">L422*'W Programs'!$M$16*'W Programs'!$O$16</f>
        <v>0</v>
      </c>
      <c r="N422" s="81" t="n">
        <f aca="false">I422*'W Assumptions'!$D$55+I408*(1-'W Assumptions'!$D$55)</f>
        <v>43862.5</v>
      </c>
      <c r="O422" s="81" t="n">
        <f aca="false">H422-I422-J422</f>
        <v>31762.5</v>
      </c>
    </row>
    <row r="423" customFormat="false" ht="21" hidden="false" customHeight="true" outlineLevel="0" collapsed="false">
      <c r="C423" s="144" t="n">
        <f aca="false">47150</f>
        <v>47150</v>
      </c>
      <c r="D423" s="81" t="n">
        <f aca="false">3</f>
        <v>3</v>
      </c>
      <c r="E423" s="81" t="str">
        <f aca="false">'W Programs'!C17</f>
        <v>WOO IP</v>
      </c>
      <c r="F423" s="81" t="str">
        <f aca="false">'W Programs'!D17</f>
        <v>Digital</v>
      </c>
      <c r="G423" s="145" t="n">
        <f aca="false">INDEX('W Programs'!$F$17:$H$17,1,D423)*INDEX('W Assumptions'!$D$7:$F$7,1,D423)*'W Assumptions'!F100/SUM('W Assumptions'!F$95:F$106)</f>
        <v>183.333333333333</v>
      </c>
      <c r="H423" s="81" t="n">
        <f aca="false">G423*INDEX('W Programs'!$I$17:$K$17,1,D423)*INDEX('W Assumptions'!$D$12:$F$12,1,D423)</f>
        <v>68750</v>
      </c>
      <c r="I423" s="81" t="n">
        <f aca="false">H423*CHOOSE(D423,'W Programs'!L17,'W Programs'!Q17,'W Programs'!R17)*INDEX('W Assumptions'!$D$17:$F$17,1,D423)</f>
        <v>11000</v>
      </c>
      <c r="J423" s="81" t="n">
        <f aca="false">H423*'W Programs'!$M$17*'W Programs'!$O$17</f>
        <v>0</v>
      </c>
      <c r="K423" s="149" t="n">
        <f aca="false">'W Programs'!$N$17</f>
        <v>1</v>
      </c>
      <c r="L423" s="81" t="n">
        <f aca="false">H423*K423+H395*(1-K423)</f>
        <v>68750</v>
      </c>
      <c r="M423" s="81" t="n">
        <f aca="false">L423*'W Programs'!$M$17*'W Programs'!$O$17</f>
        <v>0</v>
      </c>
      <c r="N423" s="81" t="n">
        <f aca="false">I423*'W Assumptions'!$D$55+I409*(1-'W Assumptions'!$D$55)</f>
        <v>11000</v>
      </c>
      <c r="O423" s="81" t="n">
        <f aca="false">H423-I423-J423</f>
        <v>57750</v>
      </c>
    </row>
    <row r="424" customFormat="false" ht="21" hidden="false" customHeight="true" outlineLevel="0" collapsed="false">
      <c r="C424" s="144" t="n">
        <f aca="false">47150</f>
        <v>47150</v>
      </c>
      <c r="D424" s="81" t="n">
        <f aca="false">3</f>
        <v>3</v>
      </c>
      <c r="E424" s="81" t="str">
        <f aca="false">'W Programs'!C18</f>
        <v>WOO IP</v>
      </c>
      <c r="F424" s="81" t="str">
        <f aca="false">'W Programs'!D18</f>
        <v>Retail</v>
      </c>
      <c r="G424" s="145" t="n">
        <f aca="false">INDEX('W Programs'!$F$18:$H$18,1,D424)*INDEX('W Assumptions'!$D$7:$F$7,1,D424)*'W Assumptions'!F100/SUM('W Assumptions'!F$95:F$106)</f>
        <v>412.5</v>
      </c>
      <c r="H424" s="81" t="n">
        <f aca="false">G424*INDEX('W Programs'!$I$18:$K$18,1,D424)*INDEX('W Assumptions'!$D$12:$F$12,1,D424)</f>
        <v>107250</v>
      </c>
      <c r="I424" s="81" t="n">
        <f aca="false">H424*CHOOSE(D424,'W Programs'!L18,'W Programs'!Q18,'W Programs'!R18)*INDEX('W Assumptions'!$D$17:$F$17,1,D424)</f>
        <v>51480</v>
      </c>
      <c r="J424" s="81" t="n">
        <f aca="false">H424*'W Programs'!$M$18*'W Programs'!$O$18</f>
        <v>0</v>
      </c>
      <c r="K424" s="149" t="n">
        <f aca="false">'W Programs'!$N$18</f>
        <v>1</v>
      </c>
      <c r="L424" s="81" t="n">
        <f aca="false">H424*K424+H396*(1-K424)</f>
        <v>107250</v>
      </c>
      <c r="M424" s="81" t="n">
        <f aca="false">L424*'W Programs'!$M$18*'W Programs'!$O$18</f>
        <v>0</v>
      </c>
      <c r="N424" s="81" t="n">
        <f aca="false">I424*'W Assumptions'!$D$55+I410*(1-'W Assumptions'!$D$55)</f>
        <v>51480</v>
      </c>
      <c r="O424" s="81" t="n">
        <f aca="false">H424-I424-J424</f>
        <v>55770</v>
      </c>
    </row>
    <row r="425" customFormat="false" ht="21" hidden="false" customHeight="true" outlineLevel="0" collapsed="false">
      <c r="C425" s="144" t="n">
        <f aca="false">47150</f>
        <v>47150</v>
      </c>
      <c r="D425" s="81" t="n">
        <f aca="false">3</f>
        <v>3</v>
      </c>
      <c r="E425" s="81" t="str">
        <f aca="false">'W Programs'!C19</f>
        <v>WOO IP</v>
      </c>
      <c r="F425" s="81" t="str">
        <f aca="false">'W Programs'!D19</f>
        <v>Licensing</v>
      </c>
      <c r="G425" s="145" t="n">
        <f aca="false">INDEX('W Programs'!$F$19:$H$19,1,D425)*INDEX('W Assumptions'!$D$7:$F$7,1,D425)*'W Assumptions'!F100/SUM('W Assumptions'!F$95:F$106)</f>
        <v>0.0458333333333333</v>
      </c>
      <c r="H425" s="81" t="n">
        <f aca="false">G425*INDEX('W Programs'!$I$19:$K$19,1,D425)*INDEX('W Assumptions'!$D$12:$F$12,1,D425)</f>
        <v>36666.6666666667</v>
      </c>
      <c r="I425" s="81" t="n">
        <f aca="false">H425*CHOOSE(D425,'W Programs'!L19,'W Programs'!Q19,'W Programs'!R19)*INDEX('W Assumptions'!$D$17:$F$17,1,D425)</f>
        <v>3666.66666666667</v>
      </c>
      <c r="J425" s="81" t="n">
        <f aca="false">H425*'W Programs'!$M$19*'W Programs'!$O$19</f>
        <v>0</v>
      </c>
      <c r="K425" s="149" t="n">
        <f aca="false">'W Programs'!$N$19</f>
        <v>0.3</v>
      </c>
      <c r="L425" s="81" t="n">
        <f aca="false">H425*K425+H397*(1-K425)</f>
        <v>36666.6666666667</v>
      </c>
      <c r="M425" s="81" t="n">
        <f aca="false">L425*'W Programs'!$M$19*'W Programs'!$O$19</f>
        <v>0</v>
      </c>
      <c r="N425" s="81" t="n">
        <f aca="false">I425*'W Assumptions'!$D$55+I411*(1-'W Assumptions'!$D$55)</f>
        <v>3666.66666666667</v>
      </c>
      <c r="O425" s="81" t="n">
        <f aca="false">H425-I425-J425</f>
        <v>33000</v>
      </c>
    </row>
    <row r="426" customFormat="false" ht="21" hidden="false" customHeight="true" outlineLevel="0" collapsed="false">
      <c r="C426" s="144" t="n">
        <f aca="false">47178</f>
        <v>47178</v>
      </c>
      <c r="D426" s="81" t="n">
        <f aca="false">3</f>
        <v>3</v>
      </c>
      <c r="E426" s="81" t="str">
        <f aca="false">'W Programs'!C6</f>
        <v>TLI</v>
      </c>
      <c r="F426" s="81" t="str">
        <f aca="false">'W Programs'!D6</f>
        <v>Schools</v>
      </c>
      <c r="G426" s="145" t="n">
        <f aca="false">INDEX('W Programs'!$F$6:$H$6,1,D426)*INDEX('W Assumptions'!$D$7:$F$7,1,D426)*'W Assumptions'!F101/SUM('W Assumptions'!F$95:F$106)</f>
        <v>0.9375</v>
      </c>
      <c r="H426" s="81" t="n">
        <f aca="false">G426*INDEX('W Programs'!$I$6:$K$6,1,D426)*INDEX('W Assumptions'!$D$12:$F$12,1,D426)</f>
        <v>178125</v>
      </c>
      <c r="I426" s="81" t="n">
        <f aca="false">H426*CHOOSE(D426,'W Programs'!L6,'W Programs'!Q6,'W Programs'!R6)*INDEX('W Assumptions'!$D$17:$F$17,1,D426)</f>
        <v>67687.5</v>
      </c>
      <c r="J426" s="81" t="n">
        <f aca="false">H426*'W Programs'!$M$6*'W Programs'!$O$6</f>
        <v>0</v>
      </c>
      <c r="K426" s="149" t="n">
        <f aca="false">'W Programs'!$N$6</f>
        <v>0.3</v>
      </c>
      <c r="L426" s="81" t="n">
        <f aca="false">H426*K426+H398*(1-K426)</f>
        <v>178125</v>
      </c>
      <c r="M426" s="81" t="n">
        <f aca="false">L426*'W Programs'!$M$6*'W Programs'!$O$6</f>
        <v>0</v>
      </c>
      <c r="N426" s="81" t="n">
        <f aca="false">I426*'W Assumptions'!$D$55+I412*(1-'W Assumptions'!$D$55)</f>
        <v>67687.5</v>
      </c>
      <c r="O426" s="81" t="n">
        <f aca="false">H426-I426-J426</f>
        <v>110437.5</v>
      </c>
    </row>
    <row r="427" customFormat="false" ht="21" hidden="false" customHeight="true" outlineLevel="0" collapsed="false">
      <c r="C427" s="144" t="n">
        <f aca="false">47178</f>
        <v>47178</v>
      </c>
      <c r="D427" s="81" t="n">
        <f aca="false">3</f>
        <v>3</v>
      </c>
      <c r="E427" s="81" t="str">
        <f aca="false">'W Programs'!C7</f>
        <v>TLI</v>
      </c>
      <c r="F427" s="81" t="str">
        <f aca="false">'W Programs'!D7</f>
        <v>Activations</v>
      </c>
      <c r="G427" s="145" t="n">
        <f aca="false">INDEX('W Programs'!$F$7:$H$7,1,D427)*INDEX('W Assumptions'!$D$7:$F$7,1,D427)*'W Assumptions'!F101/SUM('W Assumptions'!F$95:F$106)</f>
        <v>1.125</v>
      </c>
      <c r="H427" s="81" t="n">
        <f aca="false">G427*INDEX('W Programs'!$I$7:$K$7,1,D427)*INDEX('W Assumptions'!$D$12:$F$12,1,D427)</f>
        <v>95625</v>
      </c>
      <c r="I427" s="81" t="n">
        <f aca="false">H427*CHOOSE(D427,'W Programs'!L7,'W Programs'!Q7,'W Programs'!R7)*INDEX('W Assumptions'!$D$17:$F$17,1,D427)</f>
        <v>47812.5</v>
      </c>
      <c r="J427" s="81" t="n">
        <f aca="false">H427*'W Programs'!$M$7*'W Programs'!$O$7</f>
        <v>0</v>
      </c>
      <c r="K427" s="149" t="n">
        <f aca="false">'W Programs'!$N$7</f>
        <v>0.3</v>
      </c>
      <c r="L427" s="81" t="n">
        <f aca="false">H427*K427+H399*(1-K427)</f>
        <v>95625</v>
      </c>
      <c r="M427" s="81" t="n">
        <f aca="false">L427*'W Programs'!$M$7*'W Programs'!$O$7</f>
        <v>0</v>
      </c>
      <c r="N427" s="81" t="n">
        <f aca="false">I427*'W Assumptions'!$D$55+I413*(1-'W Assumptions'!$D$55)</f>
        <v>47812.5</v>
      </c>
      <c r="O427" s="81" t="n">
        <f aca="false">H427-I427-J427</f>
        <v>47812.5</v>
      </c>
    </row>
    <row r="428" customFormat="false" ht="21" hidden="false" customHeight="true" outlineLevel="0" collapsed="false">
      <c r="C428" s="144" t="n">
        <f aca="false">47178</f>
        <v>47178</v>
      </c>
      <c r="D428" s="81" t="n">
        <f aca="false">3</f>
        <v>3</v>
      </c>
      <c r="E428" s="81" t="str">
        <f aca="false">'W Programs'!C8</f>
        <v>TLI</v>
      </c>
      <c r="F428" s="81" t="str">
        <f aca="false">'W Programs'!D8</f>
        <v>Workshops</v>
      </c>
      <c r="G428" s="145" t="n">
        <f aca="false">INDEX('W Programs'!$F$8:$H$8,1,D428)*INDEX('W Assumptions'!$D$7:$F$7,1,D428)*'W Assumptions'!F101/SUM('W Assumptions'!F$95:F$106)</f>
        <v>9.75</v>
      </c>
      <c r="H428" s="81" t="n">
        <f aca="false">G428*INDEX('W Programs'!$I$8:$K$8,1,D428)*INDEX('W Assumptions'!$D$12:$F$12,1,D428)</f>
        <v>53625</v>
      </c>
      <c r="I428" s="81" t="n">
        <f aca="false">H428*CHOOSE(D428,'W Programs'!L8,'W Programs'!Q8,'W Programs'!R8)*INDEX('W Assumptions'!$D$17:$F$17,1,D428)</f>
        <v>21450</v>
      </c>
      <c r="J428" s="81" t="n">
        <f aca="false">H428*'W Programs'!$M$8*'W Programs'!$O$8</f>
        <v>0</v>
      </c>
      <c r="K428" s="149" t="n">
        <f aca="false">'W Programs'!$N$8</f>
        <v>0.7</v>
      </c>
      <c r="L428" s="81" t="n">
        <f aca="false">H428*K428+H400*(1-K428)</f>
        <v>53625</v>
      </c>
      <c r="M428" s="81" t="n">
        <f aca="false">L428*'W Programs'!$M$8*'W Programs'!$O$8</f>
        <v>0</v>
      </c>
      <c r="N428" s="81" t="n">
        <f aca="false">I428*'W Assumptions'!$D$55+I414*(1-'W Assumptions'!$D$55)</f>
        <v>21450</v>
      </c>
      <c r="O428" s="81" t="n">
        <f aca="false">H428-I428-J428</f>
        <v>32175</v>
      </c>
    </row>
    <row r="429" customFormat="false" ht="21" hidden="false" customHeight="true" outlineLevel="0" collapsed="false">
      <c r="C429" s="144" t="n">
        <f aca="false">47178</f>
        <v>47178</v>
      </c>
      <c r="D429" s="81" t="n">
        <f aca="false">3</f>
        <v>3</v>
      </c>
      <c r="E429" s="81" t="str">
        <f aca="false">'W Programs'!C9</f>
        <v>TLI</v>
      </c>
      <c r="F429" s="81" t="str">
        <f aca="false">'W Programs'!D9</f>
        <v>Installations</v>
      </c>
      <c r="G429" s="145" t="n">
        <f aca="false">INDEX('W Programs'!$F$9:$H$9,1,D429)*INDEX('W Assumptions'!$D$7:$F$7,1,D429)*'W Assumptions'!F101/SUM('W Assumptions'!F$95:F$106)</f>
        <v>0.1875</v>
      </c>
      <c r="H429" s="81" t="n">
        <f aca="false">G429*INDEX('W Programs'!$I$9:$K$9,1,D429)*INDEX('W Assumptions'!$D$12:$F$12,1,D429)</f>
        <v>61875</v>
      </c>
      <c r="I429" s="81" t="n">
        <f aca="false">H429*CHOOSE(D429,'W Programs'!L9,'W Programs'!Q9,'W Programs'!R9)*INDEX('W Assumptions'!$D$17:$F$17,1,D429)</f>
        <v>35887.5</v>
      </c>
      <c r="J429" s="81" t="n">
        <f aca="false">H429*'W Programs'!$M$9*'W Programs'!$O$9</f>
        <v>0</v>
      </c>
      <c r="K429" s="149" t="n">
        <f aca="false">'W Programs'!$N$9</f>
        <v>0.3</v>
      </c>
      <c r="L429" s="81" t="n">
        <f aca="false">H429*K429+H401*(1-K429)</f>
        <v>61875</v>
      </c>
      <c r="M429" s="81" t="n">
        <f aca="false">L429*'W Programs'!$M$9*'W Programs'!$O$9</f>
        <v>0</v>
      </c>
      <c r="N429" s="81" t="n">
        <f aca="false">I429*'W Assumptions'!$D$55+I415*(1-'W Assumptions'!$D$55)</f>
        <v>35887.5</v>
      </c>
      <c r="O429" s="81" t="n">
        <f aca="false">H429-I429-J429</f>
        <v>25987.5</v>
      </c>
    </row>
    <row r="430" customFormat="false" ht="21" hidden="false" customHeight="true" outlineLevel="0" collapsed="false">
      <c r="C430" s="144" t="n">
        <f aca="false">47178</f>
        <v>47178</v>
      </c>
      <c r="D430" s="81" t="n">
        <f aca="false">3</f>
        <v>3</v>
      </c>
      <c r="E430" s="81" t="str">
        <f aca="false">'W Programs'!C10</f>
        <v>TLI</v>
      </c>
      <c r="F430" s="81" t="str">
        <f aca="false">'W Programs'!D10</f>
        <v>Digital</v>
      </c>
      <c r="G430" s="145" t="n">
        <f aca="false">INDEX('W Programs'!$F$10:$H$10,1,D430)*INDEX('W Assumptions'!$D$7:$F$7,1,D430)*'W Assumptions'!F101/SUM('W Assumptions'!F$95:F$106)</f>
        <v>150</v>
      </c>
      <c r="H430" s="81" t="n">
        <f aca="false">G430*INDEX('W Programs'!$I$10:$K$10,1,D430)*INDEX('W Assumptions'!$D$12:$F$12,1,D430)</f>
        <v>56250</v>
      </c>
      <c r="I430" s="81" t="n">
        <f aca="false">H430*CHOOSE(D430,'W Programs'!L10,'W Programs'!Q10,'W Programs'!R10)*INDEX('W Assumptions'!$D$17:$F$17,1,D430)</f>
        <v>9000</v>
      </c>
      <c r="J430" s="81" t="n">
        <f aca="false">H430*'W Programs'!$M$10*'W Programs'!$O$10</f>
        <v>0</v>
      </c>
      <c r="K430" s="149" t="n">
        <f aca="false">'W Programs'!$N$10</f>
        <v>1</v>
      </c>
      <c r="L430" s="81" t="n">
        <f aca="false">H430*K430+H402*(1-K430)</f>
        <v>56250</v>
      </c>
      <c r="M430" s="81" t="n">
        <f aca="false">L430*'W Programs'!$M$10*'W Programs'!$O$10</f>
        <v>0</v>
      </c>
      <c r="N430" s="81" t="n">
        <f aca="false">I430*'W Assumptions'!$D$55+I416*(1-'W Assumptions'!$D$55)</f>
        <v>9000</v>
      </c>
      <c r="O430" s="81" t="n">
        <f aca="false">H430-I430-J430</f>
        <v>47250</v>
      </c>
    </row>
    <row r="431" customFormat="false" ht="21" hidden="false" customHeight="true" outlineLevel="0" collapsed="false">
      <c r="C431" s="144" t="n">
        <f aca="false">47178</f>
        <v>47178</v>
      </c>
      <c r="D431" s="81" t="n">
        <f aca="false">3</f>
        <v>3</v>
      </c>
      <c r="E431" s="81" t="str">
        <f aca="false">'W Programs'!C11</f>
        <v>TLI</v>
      </c>
      <c r="F431" s="81" t="str">
        <f aca="false">'W Programs'!D11</f>
        <v>Retail</v>
      </c>
      <c r="G431" s="145" t="n">
        <f aca="false">INDEX('W Programs'!$F$11:$H$11,1,D431)*INDEX('W Assumptions'!$D$7:$F$7,1,D431)*'W Assumptions'!F101/SUM('W Assumptions'!F$95:F$106)</f>
        <v>337.5</v>
      </c>
      <c r="H431" s="81" t="n">
        <f aca="false">G431*INDEX('W Programs'!$I$11:$K$11,1,D431)*INDEX('W Assumptions'!$D$12:$F$12,1,D431)</f>
        <v>87750</v>
      </c>
      <c r="I431" s="81" t="n">
        <f aca="false">H431*CHOOSE(D431,'W Programs'!L11,'W Programs'!Q11,'W Programs'!R11)*INDEX('W Assumptions'!$D$17:$F$17,1,D431)</f>
        <v>42120</v>
      </c>
      <c r="J431" s="81" t="n">
        <f aca="false">H431*'W Programs'!$M$11*'W Programs'!$O$11</f>
        <v>0</v>
      </c>
      <c r="K431" s="149" t="n">
        <f aca="false">'W Programs'!$N$11</f>
        <v>1</v>
      </c>
      <c r="L431" s="81" t="n">
        <f aca="false">H431*K431+H403*(1-K431)</f>
        <v>87750</v>
      </c>
      <c r="M431" s="81" t="n">
        <f aca="false">L431*'W Programs'!$M$11*'W Programs'!$O$11</f>
        <v>0</v>
      </c>
      <c r="N431" s="81" t="n">
        <f aca="false">I431*'W Assumptions'!$D$55+I417*(1-'W Assumptions'!$D$55)</f>
        <v>42120</v>
      </c>
      <c r="O431" s="81" t="n">
        <f aca="false">H431-I431-J431</f>
        <v>45630</v>
      </c>
    </row>
    <row r="432" customFormat="false" ht="21" hidden="false" customHeight="true" outlineLevel="0" collapsed="false">
      <c r="C432" s="144" t="n">
        <f aca="false">47178</f>
        <v>47178</v>
      </c>
      <c r="D432" s="81" t="n">
        <f aca="false">3</f>
        <v>3</v>
      </c>
      <c r="E432" s="81" t="str">
        <f aca="false">'W Programs'!C12</f>
        <v>TLI</v>
      </c>
      <c r="F432" s="81" t="str">
        <f aca="false">'W Programs'!D12</f>
        <v>Licensing</v>
      </c>
      <c r="G432" s="145" t="n">
        <f aca="false">INDEX('W Programs'!$F$12:$H$12,1,D432)*INDEX('W Assumptions'!$D$7:$F$7,1,D432)*'W Assumptions'!F101/SUM('W Assumptions'!F$95:F$106)</f>
        <v>0.0375</v>
      </c>
      <c r="H432" s="81" t="n">
        <f aca="false">G432*INDEX('W Programs'!$I$12:$K$12,1,D432)*INDEX('W Assumptions'!$D$12:$F$12,1,D432)</f>
        <v>30000</v>
      </c>
      <c r="I432" s="81" t="n">
        <f aca="false">H432*CHOOSE(D432,'W Programs'!L12,'W Programs'!Q12,'W Programs'!R12)*INDEX('W Assumptions'!$D$17:$F$17,1,D432)</f>
        <v>3000</v>
      </c>
      <c r="J432" s="81" t="n">
        <f aca="false">H432*'W Programs'!$M$12*'W Programs'!$O$12</f>
        <v>0</v>
      </c>
      <c r="K432" s="149" t="n">
        <f aca="false">'W Programs'!$N$12</f>
        <v>0.3</v>
      </c>
      <c r="L432" s="81" t="n">
        <f aca="false">H432*K432+H404*(1-K432)</f>
        <v>30000</v>
      </c>
      <c r="M432" s="81" t="n">
        <f aca="false">L432*'W Programs'!$M$12*'W Programs'!$O$12</f>
        <v>0</v>
      </c>
      <c r="N432" s="81" t="n">
        <f aca="false">I432*'W Assumptions'!$D$55+I418*(1-'W Assumptions'!$D$55)</f>
        <v>3000</v>
      </c>
      <c r="O432" s="81" t="n">
        <f aca="false">H432-I432-J432</f>
        <v>27000</v>
      </c>
    </row>
    <row r="433" customFormat="false" ht="21" hidden="false" customHeight="true" outlineLevel="0" collapsed="false">
      <c r="C433" s="144" t="n">
        <f aca="false">47178</f>
        <v>47178</v>
      </c>
      <c r="D433" s="81" t="n">
        <f aca="false">3</f>
        <v>3</v>
      </c>
      <c r="E433" s="81" t="str">
        <f aca="false">'W Programs'!C13</f>
        <v>WOO IP</v>
      </c>
      <c r="F433" s="81" t="str">
        <f aca="false">'W Programs'!D13</f>
        <v>Schools</v>
      </c>
      <c r="G433" s="145" t="n">
        <f aca="false">INDEX('W Programs'!$F$13:$H$13,1,D433)*INDEX('W Assumptions'!$D$7:$F$7,1,D433)*'W Assumptions'!F101/SUM('W Assumptions'!F$95:F$106)</f>
        <v>1.14583333333333</v>
      </c>
      <c r="H433" s="81" t="n">
        <f aca="false">G433*INDEX('W Programs'!$I$13:$K$13,1,D433)*INDEX('W Assumptions'!$D$12:$F$12,1,D433)</f>
        <v>217708.333333333</v>
      </c>
      <c r="I433" s="81" t="n">
        <f aca="false">H433*CHOOSE(D433,'W Programs'!L13,'W Programs'!Q13,'W Programs'!R13)*INDEX('W Assumptions'!$D$17:$F$17,1,D433)</f>
        <v>82729.1666666667</v>
      </c>
      <c r="J433" s="81" t="n">
        <f aca="false">H433*'W Programs'!$M$13*'W Programs'!$O$13</f>
        <v>0</v>
      </c>
      <c r="K433" s="149" t="n">
        <f aca="false">'W Programs'!$N$13</f>
        <v>0.3</v>
      </c>
      <c r="L433" s="81" t="n">
        <f aca="false">H433*K433+H405*(1-K433)</f>
        <v>217708.333333333</v>
      </c>
      <c r="M433" s="81" t="n">
        <f aca="false">L433*'W Programs'!$M$13*'W Programs'!$O$13</f>
        <v>0</v>
      </c>
      <c r="N433" s="81" t="n">
        <f aca="false">I433*'W Assumptions'!$D$55+I419*(1-'W Assumptions'!$D$55)</f>
        <v>82729.1666666667</v>
      </c>
      <c r="O433" s="81" t="n">
        <f aca="false">H433-I433-J433</f>
        <v>134979.166666667</v>
      </c>
    </row>
    <row r="434" customFormat="false" ht="21" hidden="false" customHeight="true" outlineLevel="0" collapsed="false">
      <c r="C434" s="144" t="n">
        <f aca="false">47178</f>
        <v>47178</v>
      </c>
      <c r="D434" s="81" t="n">
        <f aca="false">3</f>
        <v>3</v>
      </c>
      <c r="E434" s="81" t="str">
        <f aca="false">'W Programs'!C14</f>
        <v>WOO IP</v>
      </c>
      <c r="F434" s="81" t="str">
        <f aca="false">'W Programs'!D14</f>
        <v>Activations</v>
      </c>
      <c r="G434" s="145" t="n">
        <f aca="false">INDEX('W Programs'!$F$14:$H$14,1,D434)*INDEX('W Assumptions'!$D$7:$F$7,1,D434)*'W Assumptions'!F101/SUM('W Assumptions'!F$95:F$106)</f>
        <v>1.375</v>
      </c>
      <c r="H434" s="81" t="n">
        <f aca="false">G434*INDEX('W Programs'!$I$14:$K$14,1,D434)*INDEX('W Assumptions'!$D$12:$F$12,1,D434)</f>
        <v>116875</v>
      </c>
      <c r="I434" s="81" t="n">
        <f aca="false">H434*CHOOSE(D434,'W Programs'!L14,'W Programs'!Q14,'W Programs'!R14)*INDEX('W Assumptions'!$D$17:$F$17,1,D434)</f>
        <v>58437.5</v>
      </c>
      <c r="J434" s="81" t="n">
        <f aca="false">H434*'W Programs'!$M$14*'W Programs'!$O$14</f>
        <v>0</v>
      </c>
      <c r="K434" s="149" t="n">
        <f aca="false">'W Programs'!$N$14</f>
        <v>0.3</v>
      </c>
      <c r="L434" s="81" t="n">
        <f aca="false">H434*K434+H406*(1-K434)</f>
        <v>116875</v>
      </c>
      <c r="M434" s="81" t="n">
        <f aca="false">L434*'W Programs'!$M$14*'W Programs'!$O$14</f>
        <v>0</v>
      </c>
      <c r="N434" s="81" t="n">
        <f aca="false">I434*'W Assumptions'!$D$55+I420*(1-'W Assumptions'!$D$55)</f>
        <v>58437.5</v>
      </c>
      <c r="O434" s="81" t="n">
        <f aca="false">H434-I434-J434</f>
        <v>58437.5</v>
      </c>
    </row>
    <row r="435" customFormat="false" ht="21" hidden="false" customHeight="true" outlineLevel="0" collapsed="false">
      <c r="C435" s="144" t="n">
        <f aca="false">47178</f>
        <v>47178</v>
      </c>
      <c r="D435" s="81" t="n">
        <f aca="false">3</f>
        <v>3</v>
      </c>
      <c r="E435" s="81" t="str">
        <f aca="false">'W Programs'!C15</f>
        <v>WOO IP</v>
      </c>
      <c r="F435" s="81" t="str">
        <f aca="false">'W Programs'!D15</f>
        <v>Workshops</v>
      </c>
      <c r="G435" s="145" t="n">
        <f aca="false">INDEX('W Programs'!$F$15:$H$15,1,D435)*INDEX('W Assumptions'!$D$7:$F$7,1,D435)*'W Assumptions'!F101/SUM('W Assumptions'!F$95:F$106)</f>
        <v>11.9166666666667</v>
      </c>
      <c r="H435" s="81" t="n">
        <f aca="false">G435*INDEX('W Programs'!$I$15:$K$15,1,D435)*INDEX('W Assumptions'!$D$12:$F$12,1,D435)</f>
        <v>65541.6666666667</v>
      </c>
      <c r="I435" s="81" t="n">
        <f aca="false">H435*CHOOSE(D435,'W Programs'!L15,'W Programs'!Q15,'W Programs'!R15)*INDEX('W Assumptions'!$D$17:$F$17,1,D435)</f>
        <v>26216.6666666667</v>
      </c>
      <c r="J435" s="81" t="n">
        <f aca="false">H435*'W Programs'!$M$15*'W Programs'!$O$15</f>
        <v>0</v>
      </c>
      <c r="K435" s="149" t="n">
        <f aca="false">'W Programs'!$N$15</f>
        <v>0.7</v>
      </c>
      <c r="L435" s="81" t="n">
        <f aca="false">H435*K435+H407*(1-K435)</f>
        <v>65541.6666666667</v>
      </c>
      <c r="M435" s="81" t="n">
        <f aca="false">L435*'W Programs'!$M$15*'W Programs'!$O$15</f>
        <v>0</v>
      </c>
      <c r="N435" s="81" t="n">
        <f aca="false">I435*'W Assumptions'!$D$55+I421*(1-'W Assumptions'!$D$55)</f>
        <v>26216.6666666667</v>
      </c>
      <c r="O435" s="81" t="n">
        <f aca="false">H435-I435-J435</f>
        <v>39325</v>
      </c>
    </row>
    <row r="436" customFormat="false" ht="21" hidden="false" customHeight="true" outlineLevel="0" collapsed="false">
      <c r="C436" s="144" t="n">
        <f aca="false">47178</f>
        <v>47178</v>
      </c>
      <c r="D436" s="81" t="n">
        <f aca="false">3</f>
        <v>3</v>
      </c>
      <c r="E436" s="81" t="str">
        <f aca="false">'W Programs'!C16</f>
        <v>WOO IP</v>
      </c>
      <c r="F436" s="81" t="str">
        <f aca="false">'W Programs'!D16</f>
        <v>Installations</v>
      </c>
      <c r="G436" s="145" t="n">
        <f aca="false">INDEX('W Programs'!$F$16:$H$16,1,D436)*INDEX('W Assumptions'!$D$7:$F$7,1,D436)*'W Assumptions'!F101/SUM('W Assumptions'!F$95:F$106)</f>
        <v>0.229166666666667</v>
      </c>
      <c r="H436" s="81" t="n">
        <f aca="false">G436*INDEX('W Programs'!$I$16:$K$16,1,D436)*INDEX('W Assumptions'!$D$12:$F$12,1,D436)</f>
        <v>75625</v>
      </c>
      <c r="I436" s="81" t="n">
        <f aca="false">H436*CHOOSE(D436,'W Programs'!L16,'W Programs'!Q16,'W Programs'!R16)*INDEX('W Assumptions'!$D$17:$F$17,1,D436)</f>
        <v>43862.5</v>
      </c>
      <c r="J436" s="81" t="n">
        <f aca="false">H436*'W Programs'!$M$16*'W Programs'!$O$16</f>
        <v>0</v>
      </c>
      <c r="K436" s="149" t="n">
        <f aca="false">'W Programs'!$N$16</f>
        <v>0.3</v>
      </c>
      <c r="L436" s="81" t="n">
        <f aca="false">H436*K436+H408*(1-K436)</f>
        <v>75625</v>
      </c>
      <c r="M436" s="81" t="n">
        <f aca="false">L436*'W Programs'!$M$16*'W Programs'!$O$16</f>
        <v>0</v>
      </c>
      <c r="N436" s="81" t="n">
        <f aca="false">I436*'W Assumptions'!$D$55+I422*(1-'W Assumptions'!$D$55)</f>
        <v>43862.5</v>
      </c>
      <c r="O436" s="81" t="n">
        <f aca="false">H436-I436-J436</f>
        <v>31762.5</v>
      </c>
    </row>
    <row r="437" customFormat="false" ht="21" hidden="false" customHeight="true" outlineLevel="0" collapsed="false">
      <c r="C437" s="144" t="n">
        <f aca="false">47178</f>
        <v>47178</v>
      </c>
      <c r="D437" s="81" t="n">
        <f aca="false">3</f>
        <v>3</v>
      </c>
      <c r="E437" s="81" t="str">
        <f aca="false">'W Programs'!C17</f>
        <v>WOO IP</v>
      </c>
      <c r="F437" s="81" t="str">
        <f aca="false">'W Programs'!D17</f>
        <v>Digital</v>
      </c>
      <c r="G437" s="145" t="n">
        <f aca="false">INDEX('W Programs'!$F$17:$H$17,1,D437)*INDEX('W Assumptions'!$D$7:$F$7,1,D437)*'W Assumptions'!F101/SUM('W Assumptions'!F$95:F$106)</f>
        <v>183.333333333333</v>
      </c>
      <c r="H437" s="81" t="n">
        <f aca="false">G437*INDEX('W Programs'!$I$17:$K$17,1,D437)*INDEX('W Assumptions'!$D$12:$F$12,1,D437)</f>
        <v>68750</v>
      </c>
      <c r="I437" s="81" t="n">
        <f aca="false">H437*CHOOSE(D437,'W Programs'!L17,'W Programs'!Q17,'W Programs'!R17)*INDEX('W Assumptions'!$D$17:$F$17,1,D437)</f>
        <v>11000</v>
      </c>
      <c r="J437" s="81" t="n">
        <f aca="false">H437*'W Programs'!$M$17*'W Programs'!$O$17</f>
        <v>0</v>
      </c>
      <c r="K437" s="149" t="n">
        <f aca="false">'W Programs'!$N$17</f>
        <v>1</v>
      </c>
      <c r="L437" s="81" t="n">
        <f aca="false">H437*K437+H409*(1-K437)</f>
        <v>68750</v>
      </c>
      <c r="M437" s="81" t="n">
        <f aca="false">L437*'W Programs'!$M$17*'W Programs'!$O$17</f>
        <v>0</v>
      </c>
      <c r="N437" s="81" t="n">
        <f aca="false">I437*'W Assumptions'!$D$55+I423*(1-'W Assumptions'!$D$55)</f>
        <v>11000</v>
      </c>
      <c r="O437" s="81" t="n">
        <f aca="false">H437-I437-J437</f>
        <v>57750</v>
      </c>
    </row>
    <row r="438" customFormat="false" ht="21" hidden="false" customHeight="true" outlineLevel="0" collapsed="false">
      <c r="C438" s="144" t="n">
        <f aca="false">47178</f>
        <v>47178</v>
      </c>
      <c r="D438" s="81" t="n">
        <f aca="false">3</f>
        <v>3</v>
      </c>
      <c r="E438" s="81" t="str">
        <f aca="false">'W Programs'!C18</f>
        <v>WOO IP</v>
      </c>
      <c r="F438" s="81" t="str">
        <f aca="false">'W Programs'!D18</f>
        <v>Retail</v>
      </c>
      <c r="G438" s="145" t="n">
        <f aca="false">INDEX('W Programs'!$F$18:$H$18,1,D438)*INDEX('W Assumptions'!$D$7:$F$7,1,D438)*'W Assumptions'!F101/SUM('W Assumptions'!F$95:F$106)</f>
        <v>412.5</v>
      </c>
      <c r="H438" s="81" t="n">
        <f aca="false">G438*INDEX('W Programs'!$I$18:$K$18,1,D438)*INDEX('W Assumptions'!$D$12:$F$12,1,D438)</f>
        <v>107250</v>
      </c>
      <c r="I438" s="81" t="n">
        <f aca="false">H438*CHOOSE(D438,'W Programs'!L18,'W Programs'!Q18,'W Programs'!R18)*INDEX('W Assumptions'!$D$17:$F$17,1,D438)</f>
        <v>51480</v>
      </c>
      <c r="J438" s="81" t="n">
        <f aca="false">H438*'W Programs'!$M$18*'W Programs'!$O$18</f>
        <v>0</v>
      </c>
      <c r="K438" s="149" t="n">
        <f aca="false">'W Programs'!$N$18</f>
        <v>1</v>
      </c>
      <c r="L438" s="81" t="n">
        <f aca="false">H438*K438+H410*(1-K438)</f>
        <v>107250</v>
      </c>
      <c r="M438" s="81" t="n">
        <f aca="false">L438*'W Programs'!$M$18*'W Programs'!$O$18</f>
        <v>0</v>
      </c>
      <c r="N438" s="81" t="n">
        <f aca="false">I438*'W Assumptions'!$D$55+I424*(1-'W Assumptions'!$D$55)</f>
        <v>51480</v>
      </c>
      <c r="O438" s="81" t="n">
        <f aca="false">H438-I438-J438</f>
        <v>55770</v>
      </c>
    </row>
    <row r="439" customFormat="false" ht="21" hidden="false" customHeight="true" outlineLevel="0" collapsed="false">
      <c r="C439" s="144" t="n">
        <f aca="false">47178</f>
        <v>47178</v>
      </c>
      <c r="D439" s="81" t="n">
        <f aca="false">3</f>
        <v>3</v>
      </c>
      <c r="E439" s="81" t="str">
        <f aca="false">'W Programs'!C19</f>
        <v>WOO IP</v>
      </c>
      <c r="F439" s="81" t="str">
        <f aca="false">'W Programs'!D19</f>
        <v>Licensing</v>
      </c>
      <c r="G439" s="145" t="n">
        <f aca="false">INDEX('W Programs'!$F$19:$H$19,1,D439)*INDEX('W Assumptions'!$D$7:$F$7,1,D439)*'W Assumptions'!F101/SUM('W Assumptions'!F$95:F$106)</f>
        <v>0.0458333333333333</v>
      </c>
      <c r="H439" s="81" t="n">
        <f aca="false">G439*INDEX('W Programs'!$I$19:$K$19,1,D439)*INDEX('W Assumptions'!$D$12:$F$12,1,D439)</f>
        <v>36666.6666666667</v>
      </c>
      <c r="I439" s="81" t="n">
        <f aca="false">H439*CHOOSE(D439,'W Programs'!L19,'W Programs'!Q19,'W Programs'!R19)*INDEX('W Assumptions'!$D$17:$F$17,1,D439)</f>
        <v>3666.66666666667</v>
      </c>
      <c r="J439" s="81" t="n">
        <f aca="false">H439*'W Programs'!$M$19*'W Programs'!$O$19</f>
        <v>0</v>
      </c>
      <c r="K439" s="149" t="n">
        <f aca="false">'W Programs'!$N$19</f>
        <v>0.3</v>
      </c>
      <c r="L439" s="81" t="n">
        <f aca="false">H439*K439+H411*(1-K439)</f>
        <v>36666.6666666667</v>
      </c>
      <c r="M439" s="81" t="n">
        <f aca="false">L439*'W Programs'!$M$19*'W Programs'!$O$19</f>
        <v>0</v>
      </c>
      <c r="N439" s="81" t="n">
        <f aca="false">I439*'W Assumptions'!$D$55+I425*(1-'W Assumptions'!$D$55)</f>
        <v>3666.66666666667</v>
      </c>
      <c r="O439" s="81" t="n">
        <f aca="false">H439-I439-J439</f>
        <v>33000</v>
      </c>
    </row>
    <row r="440" customFormat="false" ht="21" hidden="false" customHeight="true" outlineLevel="0" collapsed="false">
      <c r="C440" s="144" t="n">
        <f aca="false">47209</f>
        <v>47209</v>
      </c>
      <c r="D440" s="81" t="n">
        <f aca="false">3</f>
        <v>3</v>
      </c>
      <c r="E440" s="81" t="str">
        <f aca="false">'W Programs'!C6</f>
        <v>TLI</v>
      </c>
      <c r="F440" s="81" t="str">
        <f aca="false">'W Programs'!D6</f>
        <v>Schools</v>
      </c>
      <c r="G440" s="145" t="n">
        <f aca="false">INDEX('W Programs'!$F$6:$H$6,1,D440)*INDEX('W Assumptions'!$D$7:$F$7,1,D440)*'W Assumptions'!F102/SUM('W Assumptions'!F$95:F$106)</f>
        <v>0.9375</v>
      </c>
      <c r="H440" s="81" t="n">
        <f aca="false">G440*INDEX('W Programs'!$I$6:$K$6,1,D440)*INDEX('W Assumptions'!$D$12:$F$12,1,D440)</f>
        <v>178125</v>
      </c>
      <c r="I440" s="81" t="n">
        <f aca="false">H440*CHOOSE(D440,'W Programs'!L6,'W Programs'!Q6,'W Programs'!R6)*INDEX('W Assumptions'!$D$17:$F$17,1,D440)</f>
        <v>67687.5</v>
      </c>
      <c r="J440" s="81" t="n">
        <f aca="false">H440*'W Programs'!$M$6*'W Programs'!$O$6</f>
        <v>0</v>
      </c>
      <c r="K440" s="149" t="n">
        <f aca="false">'W Programs'!$N$6</f>
        <v>0.3</v>
      </c>
      <c r="L440" s="81" t="n">
        <f aca="false">H440*K440+H412*(1-K440)</f>
        <v>178125</v>
      </c>
      <c r="M440" s="81" t="n">
        <f aca="false">L440*'W Programs'!$M$6*'W Programs'!$O$6</f>
        <v>0</v>
      </c>
      <c r="N440" s="81" t="n">
        <f aca="false">I440*'W Assumptions'!$D$55+I426*(1-'W Assumptions'!$D$55)</f>
        <v>67687.5</v>
      </c>
      <c r="O440" s="81" t="n">
        <f aca="false">H440-I440-J440</f>
        <v>110437.5</v>
      </c>
    </row>
    <row r="441" customFormat="false" ht="21" hidden="false" customHeight="true" outlineLevel="0" collapsed="false">
      <c r="C441" s="144" t="n">
        <f aca="false">47209</f>
        <v>47209</v>
      </c>
      <c r="D441" s="81" t="n">
        <f aca="false">3</f>
        <v>3</v>
      </c>
      <c r="E441" s="81" t="str">
        <f aca="false">'W Programs'!C7</f>
        <v>TLI</v>
      </c>
      <c r="F441" s="81" t="str">
        <f aca="false">'W Programs'!D7</f>
        <v>Activations</v>
      </c>
      <c r="G441" s="145" t="n">
        <f aca="false">INDEX('W Programs'!$F$7:$H$7,1,D441)*INDEX('W Assumptions'!$D$7:$F$7,1,D441)*'W Assumptions'!F102/SUM('W Assumptions'!F$95:F$106)</f>
        <v>1.125</v>
      </c>
      <c r="H441" s="81" t="n">
        <f aca="false">G441*INDEX('W Programs'!$I$7:$K$7,1,D441)*INDEX('W Assumptions'!$D$12:$F$12,1,D441)</f>
        <v>95625</v>
      </c>
      <c r="I441" s="81" t="n">
        <f aca="false">H441*CHOOSE(D441,'W Programs'!L7,'W Programs'!Q7,'W Programs'!R7)*INDEX('W Assumptions'!$D$17:$F$17,1,D441)</f>
        <v>47812.5</v>
      </c>
      <c r="J441" s="81" t="n">
        <f aca="false">H441*'W Programs'!$M$7*'W Programs'!$O$7</f>
        <v>0</v>
      </c>
      <c r="K441" s="149" t="n">
        <f aca="false">'W Programs'!$N$7</f>
        <v>0.3</v>
      </c>
      <c r="L441" s="81" t="n">
        <f aca="false">H441*K441+H413*(1-K441)</f>
        <v>95625</v>
      </c>
      <c r="M441" s="81" t="n">
        <f aca="false">L441*'W Programs'!$M$7*'W Programs'!$O$7</f>
        <v>0</v>
      </c>
      <c r="N441" s="81" t="n">
        <f aca="false">I441*'W Assumptions'!$D$55+I427*(1-'W Assumptions'!$D$55)</f>
        <v>47812.5</v>
      </c>
      <c r="O441" s="81" t="n">
        <f aca="false">H441-I441-J441</f>
        <v>47812.5</v>
      </c>
    </row>
    <row r="442" customFormat="false" ht="21" hidden="false" customHeight="true" outlineLevel="0" collapsed="false">
      <c r="C442" s="144" t="n">
        <f aca="false">47209</f>
        <v>47209</v>
      </c>
      <c r="D442" s="81" t="n">
        <f aca="false">3</f>
        <v>3</v>
      </c>
      <c r="E442" s="81" t="str">
        <f aca="false">'W Programs'!C8</f>
        <v>TLI</v>
      </c>
      <c r="F442" s="81" t="str">
        <f aca="false">'W Programs'!D8</f>
        <v>Workshops</v>
      </c>
      <c r="G442" s="145" t="n">
        <f aca="false">INDEX('W Programs'!$F$8:$H$8,1,D442)*INDEX('W Assumptions'!$D$7:$F$7,1,D442)*'W Assumptions'!F102/SUM('W Assumptions'!F$95:F$106)</f>
        <v>9.75</v>
      </c>
      <c r="H442" s="81" t="n">
        <f aca="false">G442*INDEX('W Programs'!$I$8:$K$8,1,D442)*INDEX('W Assumptions'!$D$12:$F$12,1,D442)</f>
        <v>53625</v>
      </c>
      <c r="I442" s="81" t="n">
        <f aca="false">H442*CHOOSE(D442,'W Programs'!L8,'W Programs'!Q8,'W Programs'!R8)*INDEX('W Assumptions'!$D$17:$F$17,1,D442)</f>
        <v>21450</v>
      </c>
      <c r="J442" s="81" t="n">
        <f aca="false">H442*'W Programs'!$M$8*'W Programs'!$O$8</f>
        <v>0</v>
      </c>
      <c r="K442" s="149" t="n">
        <f aca="false">'W Programs'!$N$8</f>
        <v>0.7</v>
      </c>
      <c r="L442" s="81" t="n">
        <f aca="false">H442*K442+H414*(1-K442)</f>
        <v>53625</v>
      </c>
      <c r="M442" s="81" t="n">
        <f aca="false">L442*'W Programs'!$M$8*'W Programs'!$O$8</f>
        <v>0</v>
      </c>
      <c r="N442" s="81" t="n">
        <f aca="false">I442*'W Assumptions'!$D$55+I428*(1-'W Assumptions'!$D$55)</f>
        <v>21450</v>
      </c>
      <c r="O442" s="81" t="n">
        <f aca="false">H442-I442-J442</f>
        <v>32175</v>
      </c>
    </row>
    <row r="443" customFormat="false" ht="21" hidden="false" customHeight="true" outlineLevel="0" collapsed="false">
      <c r="C443" s="144" t="n">
        <f aca="false">47209</f>
        <v>47209</v>
      </c>
      <c r="D443" s="81" t="n">
        <f aca="false">3</f>
        <v>3</v>
      </c>
      <c r="E443" s="81" t="str">
        <f aca="false">'W Programs'!C9</f>
        <v>TLI</v>
      </c>
      <c r="F443" s="81" t="str">
        <f aca="false">'W Programs'!D9</f>
        <v>Installations</v>
      </c>
      <c r="G443" s="145" t="n">
        <f aca="false">INDEX('W Programs'!$F$9:$H$9,1,D443)*INDEX('W Assumptions'!$D$7:$F$7,1,D443)*'W Assumptions'!F102/SUM('W Assumptions'!F$95:F$106)</f>
        <v>0.1875</v>
      </c>
      <c r="H443" s="81" t="n">
        <f aca="false">G443*INDEX('W Programs'!$I$9:$K$9,1,D443)*INDEX('W Assumptions'!$D$12:$F$12,1,D443)</f>
        <v>61875</v>
      </c>
      <c r="I443" s="81" t="n">
        <f aca="false">H443*CHOOSE(D443,'W Programs'!L9,'W Programs'!Q9,'W Programs'!R9)*INDEX('W Assumptions'!$D$17:$F$17,1,D443)</f>
        <v>35887.5</v>
      </c>
      <c r="J443" s="81" t="n">
        <f aca="false">H443*'W Programs'!$M$9*'W Programs'!$O$9</f>
        <v>0</v>
      </c>
      <c r="K443" s="149" t="n">
        <f aca="false">'W Programs'!$N$9</f>
        <v>0.3</v>
      </c>
      <c r="L443" s="81" t="n">
        <f aca="false">H443*K443+H415*(1-K443)</f>
        <v>61875</v>
      </c>
      <c r="M443" s="81" t="n">
        <f aca="false">L443*'W Programs'!$M$9*'W Programs'!$O$9</f>
        <v>0</v>
      </c>
      <c r="N443" s="81" t="n">
        <f aca="false">I443*'W Assumptions'!$D$55+I429*(1-'W Assumptions'!$D$55)</f>
        <v>35887.5</v>
      </c>
      <c r="O443" s="81" t="n">
        <f aca="false">H443-I443-J443</f>
        <v>25987.5</v>
      </c>
    </row>
    <row r="444" customFormat="false" ht="21" hidden="false" customHeight="true" outlineLevel="0" collapsed="false">
      <c r="C444" s="144" t="n">
        <f aca="false">47209</f>
        <v>47209</v>
      </c>
      <c r="D444" s="81" t="n">
        <f aca="false">3</f>
        <v>3</v>
      </c>
      <c r="E444" s="81" t="str">
        <f aca="false">'W Programs'!C10</f>
        <v>TLI</v>
      </c>
      <c r="F444" s="81" t="str">
        <f aca="false">'W Programs'!D10</f>
        <v>Digital</v>
      </c>
      <c r="G444" s="145" t="n">
        <f aca="false">INDEX('W Programs'!$F$10:$H$10,1,D444)*INDEX('W Assumptions'!$D$7:$F$7,1,D444)*'W Assumptions'!F102/SUM('W Assumptions'!F$95:F$106)</f>
        <v>150</v>
      </c>
      <c r="H444" s="81" t="n">
        <f aca="false">G444*INDEX('W Programs'!$I$10:$K$10,1,D444)*INDEX('W Assumptions'!$D$12:$F$12,1,D444)</f>
        <v>56250</v>
      </c>
      <c r="I444" s="81" t="n">
        <f aca="false">H444*CHOOSE(D444,'W Programs'!L10,'W Programs'!Q10,'W Programs'!R10)*INDEX('W Assumptions'!$D$17:$F$17,1,D444)</f>
        <v>9000</v>
      </c>
      <c r="J444" s="81" t="n">
        <f aca="false">H444*'W Programs'!$M$10*'W Programs'!$O$10</f>
        <v>0</v>
      </c>
      <c r="K444" s="149" t="n">
        <f aca="false">'W Programs'!$N$10</f>
        <v>1</v>
      </c>
      <c r="L444" s="81" t="n">
        <f aca="false">H444*K444+H416*(1-K444)</f>
        <v>56250</v>
      </c>
      <c r="M444" s="81" t="n">
        <f aca="false">L444*'W Programs'!$M$10*'W Programs'!$O$10</f>
        <v>0</v>
      </c>
      <c r="N444" s="81" t="n">
        <f aca="false">I444*'W Assumptions'!$D$55+I430*(1-'W Assumptions'!$D$55)</f>
        <v>9000</v>
      </c>
      <c r="O444" s="81" t="n">
        <f aca="false">H444-I444-J444</f>
        <v>47250</v>
      </c>
    </row>
    <row r="445" customFormat="false" ht="21" hidden="false" customHeight="true" outlineLevel="0" collapsed="false">
      <c r="C445" s="144" t="n">
        <f aca="false">47209</f>
        <v>47209</v>
      </c>
      <c r="D445" s="81" t="n">
        <f aca="false">3</f>
        <v>3</v>
      </c>
      <c r="E445" s="81" t="str">
        <f aca="false">'W Programs'!C11</f>
        <v>TLI</v>
      </c>
      <c r="F445" s="81" t="str">
        <f aca="false">'W Programs'!D11</f>
        <v>Retail</v>
      </c>
      <c r="G445" s="145" t="n">
        <f aca="false">INDEX('W Programs'!$F$11:$H$11,1,D445)*INDEX('W Assumptions'!$D$7:$F$7,1,D445)*'W Assumptions'!F102/SUM('W Assumptions'!F$95:F$106)</f>
        <v>337.5</v>
      </c>
      <c r="H445" s="81" t="n">
        <f aca="false">G445*INDEX('W Programs'!$I$11:$K$11,1,D445)*INDEX('W Assumptions'!$D$12:$F$12,1,D445)</f>
        <v>87750</v>
      </c>
      <c r="I445" s="81" t="n">
        <f aca="false">H445*CHOOSE(D445,'W Programs'!L11,'W Programs'!Q11,'W Programs'!R11)*INDEX('W Assumptions'!$D$17:$F$17,1,D445)</f>
        <v>42120</v>
      </c>
      <c r="J445" s="81" t="n">
        <f aca="false">H445*'W Programs'!$M$11*'W Programs'!$O$11</f>
        <v>0</v>
      </c>
      <c r="K445" s="149" t="n">
        <f aca="false">'W Programs'!$N$11</f>
        <v>1</v>
      </c>
      <c r="L445" s="81" t="n">
        <f aca="false">H445*K445+H417*(1-K445)</f>
        <v>87750</v>
      </c>
      <c r="M445" s="81" t="n">
        <f aca="false">L445*'W Programs'!$M$11*'W Programs'!$O$11</f>
        <v>0</v>
      </c>
      <c r="N445" s="81" t="n">
        <f aca="false">I445*'W Assumptions'!$D$55+I431*(1-'W Assumptions'!$D$55)</f>
        <v>42120</v>
      </c>
      <c r="O445" s="81" t="n">
        <f aca="false">H445-I445-J445</f>
        <v>45630</v>
      </c>
    </row>
    <row r="446" customFormat="false" ht="21" hidden="false" customHeight="true" outlineLevel="0" collapsed="false">
      <c r="C446" s="144" t="n">
        <f aca="false">47209</f>
        <v>47209</v>
      </c>
      <c r="D446" s="81" t="n">
        <f aca="false">3</f>
        <v>3</v>
      </c>
      <c r="E446" s="81" t="str">
        <f aca="false">'W Programs'!C12</f>
        <v>TLI</v>
      </c>
      <c r="F446" s="81" t="str">
        <f aca="false">'W Programs'!D12</f>
        <v>Licensing</v>
      </c>
      <c r="G446" s="145" t="n">
        <f aca="false">INDEX('W Programs'!$F$12:$H$12,1,D446)*INDEX('W Assumptions'!$D$7:$F$7,1,D446)*'W Assumptions'!F102/SUM('W Assumptions'!F$95:F$106)</f>
        <v>0.0375</v>
      </c>
      <c r="H446" s="81" t="n">
        <f aca="false">G446*INDEX('W Programs'!$I$12:$K$12,1,D446)*INDEX('W Assumptions'!$D$12:$F$12,1,D446)</f>
        <v>30000</v>
      </c>
      <c r="I446" s="81" t="n">
        <f aca="false">H446*CHOOSE(D446,'W Programs'!L12,'W Programs'!Q12,'W Programs'!R12)*INDEX('W Assumptions'!$D$17:$F$17,1,D446)</f>
        <v>3000</v>
      </c>
      <c r="J446" s="81" t="n">
        <f aca="false">H446*'W Programs'!$M$12*'W Programs'!$O$12</f>
        <v>0</v>
      </c>
      <c r="K446" s="149" t="n">
        <f aca="false">'W Programs'!$N$12</f>
        <v>0.3</v>
      </c>
      <c r="L446" s="81" t="n">
        <f aca="false">H446*K446+H418*(1-K446)</f>
        <v>30000</v>
      </c>
      <c r="M446" s="81" t="n">
        <f aca="false">L446*'W Programs'!$M$12*'W Programs'!$O$12</f>
        <v>0</v>
      </c>
      <c r="N446" s="81" t="n">
        <f aca="false">I446*'W Assumptions'!$D$55+I432*(1-'W Assumptions'!$D$55)</f>
        <v>3000</v>
      </c>
      <c r="O446" s="81" t="n">
        <f aca="false">H446-I446-J446</f>
        <v>27000</v>
      </c>
    </row>
    <row r="447" customFormat="false" ht="21" hidden="false" customHeight="true" outlineLevel="0" collapsed="false">
      <c r="C447" s="144" t="n">
        <f aca="false">47209</f>
        <v>47209</v>
      </c>
      <c r="D447" s="81" t="n">
        <f aca="false">3</f>
        <v>3</v>
      </c>
      <c r="E447" s="81" t="str">
        <f aca="false">'W Programs'!C13</f>
        <v>WOO IP</v>
      </c>
      <c r="F447" s="81" t="str">
        <f aca="false">'W Programs'!D13</f>
        <v>Schools</v>
      </c>
      <c r="G447" s="145" t="n">
        <f aca="false">INDEX('W Programs'!$F$13:$H$13,1,D447)*INDEX('W Assumptions'!$D$7:$F$7,1,D447)*'W Assumptions'!F102/SUM('W Assumptions'!F$95:F$106)</f>
        <v>1.14583333333333</v>
      </c>
      <c r="H447" s="81" t="n">
        <f aca="false">G447*INDEX('W Programs'!$I$13:$K$13,1,D447)*INDEX('W Assumptions'!$D$12:$F$12,1,D447)</f>
        <v>217708.333333333</v>
      </c>
      <c r="I447" s="81" t="n">
        <f aca="false">H447*CHOOSE(D447,'W Programs'!L13,'W Programs'!Q13,'W Programs'!R13)*INDEX('W Assumptions'!$D$17:$F$17,1,D447)</f>
        <v>82729.1666666667</v>
      </c>
      <c r="J447" s="81" t="n">
        <f aca="false">H447*'W Programs'!$M$13*'W Programs'!$O$13</f>
        <v>0</v>
      </c>
      <c r="K447" s="149" t="n">
        <f aca="false">'W Programs'!$N$13</f>
        <v>0.3</v>
      </c>
      <c r="L447" s="81" t="n">
        <f aca="false">H447*K447+H419*(1-K447)</f>
        <v>217708.333333333</v>
      </c>
      <c r="M447" s="81" t="n">
        <f aca="false">L447*'W Programs'!$M$13*'W Programs'!$O$13</f>
        <v>0</v>
      </c>
      <c r="N447" s="81" t="n">
        <f aca="false">I447*'W Assumptions'!$D$55+I433*(1-'W Assumptions'!$D$55)</f>
        <v>82729.1666666667</v>
      </c>
      <c r="O447" s="81" t="n">
        <f aca="false">H447-I447-J447</f>
        <v>134979.166666667</v>
      </c>
    </row>
    <row r="448" customFormat="false" ht="21" hidden="false" customHeight="true" outlineLevel="0" collapsed="false">
      <c r="C448" s="144" t="n">
        <f aca="false">47209</f>
        <v>47209</v>
      </c>
      <c r="D448" s="81" t="n">
        <f aca="false">3</f>
        <v>3</v>
      </c>
      <c r="E448" s="81" t="str">
        <f aca="false">'W Programs'!C14</f>
        <v>WOO IP</v>
      </c>
      <c r="F448" s="81" t="str">
        <f aca="false">'W Programs'!D14</f>
        <v>Activations</v>
      </c>
      <c r="G448" s="145" t="n">
        <f aca="false">INDEX('W Programs'!$F$14:$H$14,1,D448)*INDEX('W Assumptions'!$D$7:$F$7,1,D448)*'W Assumptions'!F102/SUM('W Assumptions'!F$95:F$106)</f>
        <v>1.375</v>
      </c>
      <c r="H448" s="81" t="n">
        <f aca="false">G448*INDEX('W Programs'!$I$14:$K$14,1,D448)*INDEX('W Assumptions'!$D$12:$F$12,1,D448)</f>
        <v>116875</v>
      </c>
      <c r="I448" s="81" t="n">
        <f aca="false">H448*CHOOSE(D448,'W Programs'!L14,'W Programs'!Q14,'W Programs'!R14)*INDEX('W Assumptions'!$D$17:$F$17,1,D448)</f>
        <v>58437.5</v>
      </c>
      <c r="J448" s="81" t="n">
        <f aca="false">H448*'W Programs'!$M$14*'W Programs'!$O$14</f>
        <v>0</v>
      </c>
      <c r="K448" s="149" t="n">
        <f aca="false">'W Programs'!$N$14</f>
        <v>0.3</v>
      </c>
      <c r="L448" s="81" t="n">
        <f aca="false">H448*K448+H420*(1-K448)</f>
        <v>116875</v>
      </c>
      <c r="M448" s="81" t="n">
        <f aca="false">L448*'W Programs'!$M$14*'W Programs'!$O$14</f>
        <v>0</v>
      </c>
      <c r="N448" s="81" t="n">
        <f aca="false">I448*'W Assumptions'!$D$55+I434*(1-'W Assumptions'!$D$55)</f>
        <v>58437.5</v>
      </c>
      <c r="O448" s="81" t="n">
        <f aca="false">H448-I448-J448</f>
        <v>58437.5</v>
      </c>
    </row>
    <row r="449" customFormat="false" ht="21" hidden="false" customHeight="true" outlineLevel="0" collapsed="false">
      <c r="C449" s="144" t="n">
        <f aca="false">47209</f>
        <v>47209</v>
      </c>
      <c r="D449" s="81" t="n">
        <f aca="false">3</f>
        <v>3</v>
      </c>
      <c r="E449" s="81" t="str">
        <f aca="false">'W Programs'!C15</f>
        <v>WOO IP</v>
      </c>
      <c r="F449" s="81" t="str">
        <f aca="false">'W Programs'!D15</f>
        <v>Workshops</v>
      </c>
      <c r="G449" s="145" t="n">
        <f aca="false">INDEX('W Programs'!$F$15:$H$15,1,D449)*INDEX('W Assumptions'!$D$7:$F$7,1,D449)*'W Assumptions'!F102/SUM('W Assumptions'!F$95:F$106)</f>
        <v>11.9166666666667</v>
      </c>
      <c r="H449" s="81" t="n">
        <f aca="false">G449*INDEX('W Programs'!$I$15:$K$15,1,D449)*INDEX('W Assumptions'!$D$12:$F$12,1,D449)</f>
        <v>65541.6666666667</v>
      </c>
      <c r="I449" s="81" t="n">
        <f aca="false">H449*CHOOSE(D449,'W Programs'!L15,'W Programs'!Q15,'W Programs'!R15)*INDEX('W Assumptions'!$D$17:$F$17,1,D449)</f>
        <v>26216.6666666667</v>
      </c>
      <c r="J449" s="81" t="n">
        <f aca="false">H449*'W Programs'!$M$15*'W Programs'!$O$15</f>
        <v>0</v>
      </c>
      <c r="K449" s="149" t="n">
        <f aca="false">'W Programs'!$N$15</f>
        <v>0.7</v>
      </c>
      <c r="L449" s="81" t="n">
        <f aca="false">H449*K449+H421*(1-K449)</f>
        <v>65541.6666666667</v>
      </c>
      <c r="M449" s="81" t="n">
        <f aca="false">L449*'W Programs'!$M$15*'W Programs'!$O$15</f>
        <v>0</v>
      </c>
      <c r="N449" s="81" t="n">
        <f aca="false">I449*'W Assumptions'!$D$55+I435*(1-'W Assumptions'!$D$55)</f>
        <v>26216.6666666667</v>
      </c>
      <c r="O449" s="81" t="n">
        <f aca="false">H449-I449-J449</f>
        <v>39325</v>
      </c>
    </row>
    <row r="450" customFormat="false" ht="21" hidden="false" customHeight="true" outlineLevel="0" collapsed="false">
      <c r="C450" s="144" t="n">
        <f aca="false">47209</f>
        <v>47209</v>
      </c>
      <c r="D450" s="81" t="n">
        <f aca="false">3</f>
        <v>3</v>
      </c>
      <c r="E450" s="81" t="str">
        <f aca="false">'W Programs'!C16</f>
        <v>WOO IP</v>
      </c>
      <c r="F450" s="81" t="str">
        <f aca="false">'W Programs'!D16</f>
        <v>Installations</v>
      </c>
      <c r="G450" s="145" t="n">
        <f aca="false">INDEX('W Programs'!$F$16:$H$16,1,D450)*INDEX('W Assumptions'!$D$7:$F$7,1,D450)*'W Assumptions'!F102/SUM('W Assumptions'!F$95:F$106)</f>
        <v>0.229166666666667</v>
      </c>
      <c r="H450" s="81" t="n">
        <f aca="false">G450*INDEX('W Programs'!$I$16:$K$16,1,D450)*INDEX('W Assumptions'!$D$12:$F$12,1,D450)</f>
        <v>75625</v>
      </c>
      <c r="I450" s="81" t="n">
        <f aca="false">H450*CHOOSE(D450,'W Programs'!L16,'W Programs'!Q16,'W Programs'!R16)*INDEX('W Assumptions'!$D$17:$F$17,1,D450)</f>
        <v>43862.5</v>
      </c>
      <c r="J450" s="81" t="n">
        <f aca="false">H450*'W Programs'!$M$16*'W Programs'!$O$16</f>
        <v>0</v>
      </c>
      <c r="K450" s="149" t="n">
        <f aca="false">'W Programs'!$N$16</f>
        <v>0.3</v>
      </c>
      <c r="L450" s="81" t="n">
        <f aca="false">H450*K450+H422*(1-K450)</f>
        <v>75625</v>
      </c>
      <c r="M450" s="81" t="n">
        <f aca="false">L450*'W Programs'!$M$16*'W Programs'!$O$16</f>
        <v>0</v>
      </c>
      <c r="N450" s="81" t="n">
        <f aca="false">I450*'W Assumptions'!$D$55+I436*(1-'W Assumptions'!$D$55)</f>
        <v>43862.5</v>
      </c>
      <c r="O450" s="81" t="n">
        <f aca="false">H450-I450-J450</f>
        <v>31762.5</v>
      </c>
    </row>
    <row r="451" customFormat="false" ht="21" hidden="false" customHeight="true" outlineLevel="0" collapsed="false">
      <c r="C451" s="144" t="n">
        <f aca="false">47209</f>
        <v>47209</v>
      </c>
      <c r="D451" s="81" t="n">
        <f aca="false">3</f>
        <v>3</v>
      </c>
      <c r="E451" s="81" t="str">
        <f aca="false">'W Programs'!C17</f>
        <v>WOO IP</v>
      </c>
      <c r="F451" s="81" t="str">
        <f aca="false">'W Programs'!D17</f>
        <v>Digital</v>
      </c>
      <c r="G451" s="145" t="n">
        <f aca="false">INDEX('W Programs'!$F$17:$H$17,1,D451)*INDEX('W Assumptions'!$D$7:$F$7,1,D451)*'W Assumptions'!F102/SUM('W Assumptions'!F$95:F$106)</f>
        <v>183.333333333333</v>
      </c>
      <c r="H451" s="81" t="n">
        <f aca="false">G451*INDEX('W Programs'!$I$17:$K$17,1,D451)*INDEX('W Assumptions'!$D$12:$F$12,1,D451)</f>
        <v>68750</v>
      </c>
      <c r="I451" s="81" t="n">
        <f aca="false">H451*CHOOSE(D451,'W Programs'!L17,'W Programs'!Q17,'W Programs'!R17)*INDEX('W Assumptions'!$D$17:$F$17,1,D451)</f>
        <v>11000</v>
      </c>
      <c r="J451" s="81" t="n">
        <f aca="false">H451*'W Programs'!$M$17*'W Programs'!$O$17</f>
        <v>0</v>
      </c>
      <c r="K451" s="149" t="n">
        <f aca="false">'W Programs'!$N$17</f>
        <v>1</v>
      </c>
      <c r="L451" s="81" t="n">
        <f aca="false">H451*K451+H423*(1-K451)</f>
        <v>68750</v>
      </c>
      <c r="M451" s="81" t="n">
        <f aca="false">L451*'W Programs'!$M$17*'W Programs'!$O$17</f>
        <v>0</v>
      </c>
      <c r="N451" s="81" t="n">
        <f aca="false">I451*'W Assumptions'!$D$55+I437*(1-'W Assumptions'!$D$55)</f>
        <v>11000</v>
      </c>
      <c r="O451" s="81" t="n">
        <f aca="false">H451-I451-J451</f>
        <v>57750</v>
      </c>
    </row>
    <row r="452" customFormat="false" ht="21" hidden="false" customHeight="true" outlineLevel="0" collapsed="false">
      <c r="C452" s="144" t="n">
        <f aca="false">47209</f>
        <v>47209</v>
      </c>
      <c r="D452" s="81" t="n">
        <f aca="false">3</f>
        <v>3</v>
      </c>
      <c r="E452" s="81" t="str">
        <f aca="false">'W Programs'!C18</f>
        <v>WOO IP</v>
      </c>
      <c r="F452" s="81" t="str">
        <f aca="false">'W Programs'!D18</f>
        <v>Retail</v>
      </c>
      <c r="G452" s="145" t="n">
        <f aca="false">INDEX('W Programs'!$F$18:$H$18,1,D452)*INDEX('W Assumptions'!$D$7:$F$7,1,D452)*'W Assumptions'!F102/SUM('W Assumptions'!F$95:F$106)</f>
        <v>412.5</v>
      </c>
      <c r="H452" s="81" t="n">
        <f aca="false">G452*INDEX('W Programs'!$I$18:$K$18,1,D452)*INDEX('W Assumptions'!$D$12:$F$12,1,D452)</f>
        <v>107250</v>
      </c>
      <c r="I452" s="81" t="n">
        <f aca="false">H452*CHOOSE(D452,'W Programs'!L18,'W Programs'!Q18,'W Programs'!R18)*INDEX('W Assumptions'!$D$17:$F$17,1,D452)</f>
        <v>51480</v>
      </c>
      <c r="J452" s="81" t="n">
        <f aca="false">H452*'W Programs'!$M$18*'W Programs'!$O$18</f>
        <v>0</v>
      </c>
      <c r="K452" s="149" t="n">
        <f aca="false">'W Programs'!$N$18</f>
        <v>1</v>
      </c>
      <c r="L452" s="81" t="n">
        <f aca="false">H452*K452+H424*(1-K452)</f>
        <v>107250</v>
      </c>
      <c r="M452" s="81" t="n">
        <f aca="false">L452*'W Programs'!$M$18*'W Programs'!$O$18</f>
        <v>0</v>
      </c>
      <c r="N452" s="81" t="n">
        <f aca="false">I452*'W Assumptions'!$D$55+I438*(1-'W Assumptions'!$D$55)</f>
        <v>51480</v>
      </c>
      <c r="O452" s="81" t="n">
        <f aca="false">H452-I452-J452</f>
        <v>55770</v>
      </c>
    </row>
    <row r="453" customFormat="false" ht="21" hidden="false" customHeight="true" outlineLevel="0" collapsed="false">
      <c r="C453" s="144" t="n">
        <f aca="false">47209</f>
        <v>47209</v>
      </c>
      <c r="D453" s="81" t="n">
        <f aca="false">3</f>
        <v>3</v>
      </c>
      <c r="E453" s="81" t="str">
        <f aca="false">'W Programs'!C19</f>
        <v>WOO IP</v>
      </c>
      <c r="F453" s="81" t="str">
        <f aca="false">'W Programs'!D19</f>
        <v>Licensing</v>
      </c>
      <c r="G453" s="145" t="n">
        <f aca="false">INDEX('W Programs'!$F$19:$H$19,1,D453)*INDEX('W Assumptions'!$D$7:$F$7,1,D453)*'W Assumptions'!F102/SUM('W Assumptions'!F$95:F$106)</f>
        <v>0.0458333333333333</v>
      </c>
      <c r="H453" s="81" t="n">
        <f aca="false">G453*INDEX('W Programs'!$I$19:$K$19,1,D453)*INDEX('W Assumptions'!$D$12:$F$12,1,D453)</f>
        <v>36666.6666666667</v>
      </c>
      <c r="I453" s="81" t="n">
        <f aca="false">H453*CHOOSE(D453,'W Programs'!L19,'W Programs'!Q19,'W Programs'!R19)*INDEX('W Assumptions'!$D$17:$F$17,1,D453)</f>
        <v>3666.66666666667</v>
      </c>
      <c r="J453" s="81" t="n">
        <f aca="false">H453*'W Programs'!$M$19*'W Programs'!$O$19</f>
        <v>0</v>
      </c>
      <c r="K453" s="149" t="n">
        <f aca="false">'W Programs'!$N$19</f>
        <v>0.3</v>
      </c>
      <c r="L453" s="81" t="n">
        <f aca="false">H453*K453+H425*(1-K453)</f>
        <v>36666.6666666667</v>
      </c>
      <c r="M453" s="81" t="n">
        <f aca="false">L453*'W Programs'!$M$19*'W Programs'!$O$19</f>
        <v>0</v>
      </c>
      <c r="N453" s="81" t="n">
        <f aca="false">I453*'W Assumptions'!$D$55+I439*(1-'W Assumptions'!$D$55)</f>
        <v>3666.66666666667</v>
      </c>
      <c r="O453" s="81" t="n">
        <f aca="false">H453-I453-J453</f>
        <v>33000</v>
      </c>
    </row>
    <row r="454" customFormat="false" ht="21" hidden="false" customHeight="true" outlineLevel="0" collapsed="false">
      <c r="C454" s="144" t="n">
        <f aca="false">47239</f>
        <v>47239</v>
      </c>
      <c r="D454" s="81" t="n">
        <f aca="false">3</f>
        <v>3</v>
      </c>
      <c r="E454" s="81" t="str">
        <f aca="false">'W Programs'!C6</f>
        <v>TLI</v>
      </c>
      <c r="F454" s="81" t="str">
        <f aca="false">'W Programs'!D6</f>
        <v>Schools</v>
      </c>
      <c r="G454" s="145" t="n">
        <f aca="false">INDEX('W Programs'!$F$6:$H$6,1,D454)*INDEX('W Assumptions'!$D$7:$F$7,1,D454)*'W Assumptions'!F103/SUM('W Assumptions'!F$95:F$106)</f>
        <v>0.9375</v>
      </c>
      <c r="H454" s="81" t="n">
        <f aca="false">G454*INDEX('W Programs'!$I$6:$K$6,1,D454)*INDEX('W Assumptions'!$D$12:$F$12,1,D454)</f>
        <v>178125</v>
      </c>
      <c r="I454" s="81" t="n">
        <f aca="false">H454*CHOOSE(D454,'W Programs'!L6,'W Programs'!Q6,'W Programs'!R6)*INDEX('W Assumptions'!$D$17:$F$17,1,D454)</f>
        <v>67687.5</v>
      </c>
      <c r="J454" s="81" t="n">
        <f aca="false">H454*'W Programs'!$M$6*'W Programs'!$O$6</f>
        <v>0</v>
      </c>
      <c r="K454" s="149" t="n">
        <f aca="false">'W Programs'!$N$6</f>
        <v>0.3</v>
      </c>
      <c r="L454" s="81" t="n">
        <f aca="false">H454*K454+H426*(1-K454)</f>
        <v>178125</v>
      </c>
      <c r="M454" s="81" t="n">
        <f aca="false">L454*'W Programs'!$M$6*'W Programs'!$O$6</f>
        <v>0</v>
      </c>
      <c r="N454" s="81" t="n">
        <f aca="false">I454*'W Assumptions'!$D$55+I440*(1-'W Assumptions'!$D$55)</f>
        <v>67687.5</v>
      </c>
      <c r="O454" s="81" t="n">
        <f aca="false">H454-I454-J454</f>
        <v>110437.5</v>
      </c>
    </row>
    <row r="455" customFormat="false" ht="21" hidden="false" customHeight="true" outlineLevel="0" collapsed="false">
      <c r="C455" s="144" t="n">
        <f aca="false">47239</f>
        <v>47239</v>
      </c>
      <c r="D455" s="81" t="n">
        <f aca="false">3</f>
        <v>3</v>
      </c>
      <c r="E455" s="81" t="str">
        <f aca="false">'W Programs'!C7</f>
        <v>TLI</v>
      </c>
      <c r="F455" s="81" t="str">
        <f aca="false">'W Programs'!D7</f>
        <v>Activations</v>
      </c>
      <c r="G455" s="145" t="n">
        <f aca="false">INDEX('W Programs'!$F$7:$H$7,1,D455)*INDEX('W Assumptions'!$D$7:$F$7,1,D455)*'W Assumptions'!F103/SUM('W Assumptions'!F$95:F$106)</f>
        <v>1.125</v>
      </c>
      <c r="H455" s="81" t="n">
        <f aca="false">G455*INDEX('W Programs'!$I$7:$K$7,1,D455)*INDEX('W Assumptions'!$D$12:$F$12,1,D455)</f>
        <v>95625</v>
      </c>
      <c r="I455" s="81" t="n">
        <f aca="false">H455*CHOOSE(D455,'W Programs'!L7,'W Programs'!Q7,'W Programs'!R7)*INDEX('W Assumptions'!$D$17:$F$17,1,D455)</f>
        <v>47812.5</v>
      </c>
      <c r="J455" s="81" t="n">
        <f aca="false">H455*'W Programs'!$M$7*'W Programs'!$O$7</f>
        <v>0</v>
      </c>
      <c r="K455" s="149" t="n">
        <f aca="false">'W Programs'!$N$7</f>
        <v>0.3</v>
      </c>
      <c r="L455" s="81" t="n">
        <f aca="false">H455*K455+H427*(1-K455)</f>
        <v>95625</v>
      </c>
      <c r="M455" s="81" t="n">
        <f aca="false">L455*'W Programs'!$M$7*'W Programs'!$O$7</f>
        <v>0</v>
      </c>
      <c r="N455" s="81" t="n">
        <f aca="false">I455*'W Assumptions'!$D$55+I441*(1-'W Assumptions'!$D$55)</f>
        <v>47812.5</v>
      </c>
      <c r="O455" s="81" t="n">
        <f aca="false">H455-I455-J455</f>
        <v>47812.5</v>
      </c>
    </row>
    <row r="456" customFormat="false" ht="21" hidden="false" customHeight="true" outlineLevel="0" collapsed="false">
      <c r="C456" s="144" t="n">
        <f aca="false">47239</f>
        <v>47239</v>
      </c>
      <c r="D456" s="81" t="n">
        <f aca="false">3</f>
        <v>3</v>
      </c>
      <c r="E456" s="81" t="str">
        <f aca="false">'W Programs'!C8</f>
        <v>TLI</v>
      </c>
      <c r="F456" s="81" t="str">
        <f aca="false">'W Programs'!D8</f>
        <v>Workshops</v>
      </c>
      <c r="G456" s="145" t="n">
        <f aca="false">INDEX('W Programs'!$F$8:$H$8,1,D456)*INDEX('W Assumptions'!$D$7:$F$7,1,D456)*'W Assumptions'!F103/SUM('W Assumptions'!F$95:F$106)</f>
        <v>9.75</v>
      </c>
      <c r="H456" s="81" t="n">
        <f aca="false">G456*INDEX('W Programs'!$I$8:$K$8,1,D456)*INDEX('W Assumptions'!$D$12:$F$12,1,D456)</f>
        <v>53625</v>
      </c>
      <c r="I456" s="81" t="n">
        <f aca="false">H456*CHOOSE(D456,'W Programs'!L8,'W Programs'!Q8,'W Programs'!R8)*INDEX('W Assumptions'!$D$17:$F$17,1,D456)</f>
        <v>21450</v>
      </c>
      <c r="J456" s="81" t="n">
        <f aca="false">H456*'W Programs'!$M$8*'W Programs'!$O$8</f>
        <v>0</v>
      </c>
      <c r="K456" s="149" t="n">
        <f aca="false">'W Programs'!$N$8</f>
        <v>0.7</v>
      </c>
      <c r="L456" s="81" t="n">
        <f aca="false">H456*K456+H428*(1-K456)</f>
        <v>53625</v>
      </c>
      <c r="M456" s="81" t="n">
        <f aca="false">L456*'W Programs'!$M$8*'W Programs'!$O$8</f>
        <v>0</v>
      </c>
      <c r="N456" s="81" t="n">
        <f aca="false">I456*'W Assumptions'!$D$55+I442*(1-'W Assumptions'!$D$55)</f>
        <v>21450</v>
      </c>
      <c r="O456" s="81" t="n">
        <f aca="false">H456-I456-J456</f>
        <v>32175</v>
      </c>
    </row>
    <row r="457" customFormat="false" ht="21" hidden="false" customHeight="true" outlineLevel="0" collapsed="false">
      <c r="C457" s="144" t="n">
        <f aca="false">47239</f>
        <v>47239</v>
      </c>
      <c r="D457" s="81" t="n">
        <f aca="false">3</f>
        <v>3</v>
      </c>
      <c r="E457" s="81" t="str">
        <f aca="false">'W Programs'!C9</f>
        <v>TLI</v>
      </c>
      <c r="F457" s="81" t="str">
        <f aca="false">'W Programs'!D9</f>
        <v>Installations</v>
      </c>
      <c r="G457" s="145" t="n">
        <f aca="false">INDEX('W Programs'!$F$9:$H$9,1,D457)*INDEX('W Assumptions'!$D$7:$F$7,1,D457)*'W Assumptions'!F103/SUM('W Assumptions'!F$95:F$106)</f>
        <v>0.1875</v>
      </c>
      <c r="H457" s="81" t="n">
        <f aca="false">G457*INDEX('W Programs'!$I$9:$K$9,1,D457)*INDEX('W Assumptions'!$D$12:$F$12,1,D457)</f>
        <v>61875</v>
      </c>
      <c r="I457" s="81" t="n">
        <f aca="false">H457*CHOOSE(D457,'W Programs'!L9,'W Programs'!Q9,'W Programs'!R9)*INDEX('W Assumptions'!$D$17:$F$17,1,D457)</f>
        <v>35887.5</v>
      </c>
      <c r="J457" s="81" t="n">
        <f aca="false">H457*'W Programs'!$M$9*'W Programs'!$O$9</f>
        <v>0</v>
      </c>
      <c r="K457" s="149" t="n">
        <f aca="false">'W Programs'!$N$9</f>
        <v>0.3</v>
      </c>
      <c r="L457" s="81" t="n">
        <f aca="false">H457*K457+H429*(1-K457)</f>
        <v>61875</v>
      </c>
      <c r="M457" s="81" t="n">
        <f aca="false">L457*'W Programs'!$M$9*'W Programs'!$O$9</f>
        <v>0</v>
      </c>
      <c r="N457" s="81" t="n">
        <f aca="false">I457*'W Assumptions'!$D$55+I443*(1-'W Assumptions'!$D$55)</f>
        <v>35887.5</v>
      </c>
      <c r="O457" s="81" t="n">
        <f aca="false">H457-I457-J457</f>
        <v>25987.5</v>
      </c>
    </row>
    <row r="458" customFormat="false" ht="21" hidden="false" customHeight="true" outlineLevel="0" collapsed="false">
      <c r="C458" s="144" t="n">
        <f aca="false">47239</f>
        <v>47239</v>
      </c>
      <c r="D458" s="81" t="n">
        <f aca="false">3</f>
        <v>3</v>
      </c>
      <c r="E458" s="81" t="str">
        <f aca="false">'W Programs'!C10</f>
        <v>TLI</v>
      </c>
      <c r="F458" s="81" t="str">
        <f aca="false">'W Programs'!D10</f>
        <v>Digital</v>
      </c>
      <c r="G458" s="145" t="n">
        <f aca="false">INDEX('W Programs'!$F$10:$H$10,1,D458)*INDEX('W Assumptions'!$D$7:$F$7,1,D458)*'W Assumptions'!F103/SUM('W Assumptions'!F$95:F$106)</f>
        <v>150</v>
      </c>
      <c r="H458" s="81" t="n">
        <f aca="false">G458*INDEX('W Programs'!$I$10:$K$10,1,D458)*INDEX('W Assumptions'!$D$12:$F$12,1,D458)</f>
        <v>56250</v>
      </c>
      <c r="I458" s="81" t="n">
        <f aca="false">H458*CHOOSE(D458,'W Programs'!L10,'W Programs'!Q10,'W Programs'!R10)*INDEX('W Assumptions'!$D$17:$F$17,1,D458)</f>
        <v>9000</v>
      </c>
      <c r="J458" s="81" t="n">
        <f aca="false">H458*'W Programs'!$M$10*'W Programs'!$O$10</f>
        <v>0</v>
      </c>
      <c r="K458" s="149" t="n">
        <f aca="false">'W Programs'!$N$10</f>
        <v>1</v>
      </c>
      <c r="L458" s="81" t="n">
        <f aca="false">H458*K458+H430*(1-K458)</f>
        <v>56250</v>
      </c>
      <c r="M458" s="81" t="n">
        <f aca="false">L458*'W Programs'!$M$10*'W Programs'!$O$10</f>
        <v>0</v>
      </c>
      <c r="N458" s="81" t="n">
        <f aca="false">I458*'W Assumptions'!$D$55+I444*(1-'W Assumptions'!$D$55)</f>
        <v>9000</v>
      </c>
      <c r="O458" s="81" t="n">
        <f aca="false">H458-I458-J458</f>
        <v>47250</v>
      </c>
    </row>
    <row r="459" customFormat="false" ht="21" hidden="false" customHeight="true" outlineLevel="0" collapsed="false">
      <c r="C459" s="144" t="n">
        <f aca="false">47239</f>
        <v>47239</v>
      </c>
      <c r="D459" s="81" t="n">
        <f aca="false">3</f>
        <v>3</v>
      </c>
      <c r="E459" s="81" t="str">
        <f aca="false">'W Programs'!C11</f>
        <v>TLI</v>
      </c>
      <c r="F459" s="81" t="str">
        <f aca="false">'W Programs'!D11</f>
        <v>Retail</v>
      </c>
      <c r="G459" s="145" t="n">
        <f aca="false">INDEX('W Programs'!$F$11:$H$11,1,D459)*INDEX('W Assumptions'!$D$7:$F$7,1,D459)*'W Assumptions'!F103/SUM('W Assumptions'!F$95:F$106)</f>
        <v>337.5</v>
      </c>
      <c r="H459" s="81" t="n">
        <f aca="false">G459*INDEX('W Programs'!$I$11:$K$11,1,D459)*INDEX('W Assumptions'!$D$12:$F$12,1,D459)</f>
        <v>87750</v>
      </c>
      <c r="I459" s="81" t="n">
        <f aca="false">H459*CHOOSE(D459,'W Programs'!L11,'W Programs'!Q11,'W Programs'!R11)*INDEX('W Assumptions'!$D$17:$F$17,1,D459)</f>
        <v>42120</v>
      </c>
      <c r="J459" s="81" t="n">
        <f aca="false">H459*'W Programs'!$M$11*'W Programs'!$O$11</f>
        <v>0</v>
      </c>
      <c r="K459" s="149" t="n">
        <f aca="false">'W Programs'!$N$11</f>
        <v>1</v>
      </c>
      <c r="L459" s="81" t="n">
        <f aca="false">H459*K459+H431*(1-K459)</f>
        <v>87750</v>
      </c>
      <c r="M459" s="81" t="n">
        <f aca="false">L459*'W Programs'!$M$11*'W Programs'!$O$11</f>
        <v>0</v>
      </c>
      <c r="N459" s="81" t="n">
        <f aca="false">I459*'W Assumptions'!$D$55+I445*(1-'W Assumptions'!$D$55)</f>
        <v>42120</v>
      </c>
      <c r="O459" s="81" t="n">
        <f aca="false">H459-I459-J459</f>
        <v>45630</v>
      </c>
    </row>
    <row r="460" customFormat="false" ht="21" hidden="false" customHeight="true" outlineLevel="0" collapsed="false">
      <c r="C460" s="144" t="n">
        <f aca="false">47239</f>
        <v>47239</v>
      </c>
      <c r="D460" s="81" t="n">
        <f aca="false">3</f>
        <v>3</v>
      </c>
      <c r="E460" s="81" t="str">
        <f aca="false">'W Programs'!C12</f>
        <v>TLI</v>
      </c>
      <c r="F460" s="81" t="str">
        <f aca="false">'W Programs'!D12</f>
        <v>Licensing</v>
      </c>
      <c r="G460" s="145" t="n">
        <f aca="false">INDEX('W Programs'!$F$12:$H$12,1,D460)*INDEX('W Assumptions'!$D$7:$F$7,1,D460)*'W Assumptions'!F103/SUM('W Assumptions'!F$95:F$106)</f>
        <v>0.0375</v>
      </c>
      <c r="H460" s="81" t="n">
        <f aca="false">G460*INDEX('W Programs'!$I$12:$K$12,1,D460)*INDEX('W Assumptions'!$D$12:$F$12,1,D460)</f>
        <v>30000</v>
      </c>
      <c r="I460" s="81" t="n">
        <f aca="false">H460*CHOOSE(D460,'W Programs'!L12,'W Programs'!Q12,'W Programs'!R12)*INDEX('W Assumptions'!$D$17:$F$17,1,D460)</f>
        <v>3000</v>
      </c>
      <c r="J460" s="81" t="n">
        <f aca="false">H460*'W Programs'!$M$12*'W Programs'!$O$12</f>
        <v>0</v>
      </c>
      <c r="K460" s="149" t="n">
        <f aca="false">'W Programs'!$N$12</f>
        <v>0.3</v>
      </c>
      <c r="L460" s="81" t="n">
        <f aca="false">H460*K460+H432*(1-K460)</f>
        <v>30000</v>
      </c>
      <c r="M460" s="81" t="n">
        <f aca="false">L460*'W Programs'!$M$12*'W Programs'!$O$12</f>
        <v>0</v>
      </c>
      <c r="N460" s="81" t="n">
        <f aca="false">I460*'W Assumptions'!$D$55+I446*(1-'W Assumptions'!$D$55)</f>
        <v>3000</v>
      </c>
      <c r="O460" s="81" t="n">
        <f aca="false">H460-I460-J460</f>
        <v>27000</v>
      </c>
    </row>
    <row r="461" customFormat="false" ht="21" hidden="false" customHeight="true" outlineLevel="0" collapsed="false">
      <c r="C461" s="144" t="n">
        <f aca="false">47239</f>
        <v>47239</v>
      </c>
      <c r="D461" s="81" t="n">
        <f aca="false">3</f>
        <v>3</v>
      </c>
      <c r="E461" s="81" t="str">
        <f aca="false">'W Programs'!C13</f>
        <v>WOO IP</v>
      </c>
      <c r="F461" s="81" t="str">
        <f aca="false">'W Programs'!D13</f>
        <v>Schools</v>
      </c>
      <c r="G461" s="145" t="n">
        <f aca="false">INDEX('W Programs'!$F$13:$H$13,1,D461)*INDEX('W Assumptions'!$D$7:$F$7,1,D461)*'W Assumptions'!F103/SUM('W Assumptions'!F$95:F$106)</f>
        <v>1.14583333333333</v>
      </c>
      <c r="H461" s="81" t="n">
        <f aca="false">G461*INDEX('W Programs'!$I$13:$K$13,1,D461)*INDEX('W Assumptions'!$D$12:$F$12,1,D461)</f>
        <v>217708.333333333</v>
      </c>
      <c r="I461" s="81" t="n">
        <f aca="false">H461*CHOOSE(D461,'W Programs'!L13,'W Programs'!Q13,'W Programs'!R13)*INDEX('W Assumptions'!$D$17:$F$17,1,D461)</f>
        <v>82729.1666666667</v>
      </c>
      <c r="J461" s="81" t="n">
        <f aca="false">H461*'W Programs'!$M$13*'W Programs'!$O$13</f>
        <v>0</v>
      </c>
      <c r="K461" s="149" t="n">
        <f aca="false">'W Programs'!$N$13</f>
        <v>0.3</v>
      </c>
      <c r="L461" s="81" t="n">
        <f aca="false">H461*K461+H433*(1-K461)</f>
        <v>217708.333333333</v>
      </c>
      <c r="M461" s="81" t="n">
        <f aca="false">L461*'W Programs'!$M$13*'W Programs'!$O$13</f>
        <v>0</v>
      </c>
      <c r="N461" s="81" t="n">
        <f aca="false">I461*'W Assumptions'!$D$55+I447*(1-'W Assumptions'!$D$55)</f>
        <v>82729.1666666667</v>
      </c>
      <c r="O461" s="81" t="n">
        <f aca="false">H461-I461-J461</f>
        <v>134979.166666667</v>
      </c>
    </row>
    <row r="462" customFormat="false" ht="21" hidden="false" customHeight="true" outlineLevel="0" collapsed="false">
      <c r="C462" s="144" t="n">
        <f aca="false">47239</f>
        <v>47239</v>
      </c>
      <c r="D462" s="81" t="n">
        <f aca="false">3</f>
        <v>3</v>
      </c>
      <c r="E462" s="81" t="str">
        <f aca="false">'W Programs'!C14</f>
        <v>WOO IP</v>
      </c>
      <c r="F462" s="81" t="str">
        <f aca="false">'W Programs'!D14</f>
        <v>Activations</v>
      </c>
      <c r="G462" s="145" t="n">
        <f aca="false">INDEX('W Programs'!$F$14:$H$14,1,D462)*INDEX('W Assumptions'!$D$7:$F$7,1,D462)*'W Assumptions'!F103/SUM('W Assumptions'!F$95:F$106)</f>
        <v>1.375</v>
      </c>
      <c r="H462" s="81" t="n">
        <f aca="false">G462*INDEX('W Programs'!$I$14:$K$14,1,D462)*INDEX('W Assumptions'!$D$12:$F$12,1,D462)</f>
        <v>116875</v>
      </c>
      <c r="I462" s="81" t="n">
        <f aca="false">H462*CHOOSE(D462,'W Programs'!L14,'W Programs'!Q14,'W Programs'!R14)*INDEX('W Assumptions'!$D$17:$F$17,1,D462)</f>
        <v>58437.5</v>
      </c>
      <c r="J462" s="81" t="n">
        <f aca="false">H462*'W Programs'!$M$14*'W Programs'!$O$14</f>
        <v>0</v>
      </c>
      <c r="K462" s="149" t="n">
        <f aca="false">'W Programs'!$N$14</f>
        <v>0.3</v>
      </c>
      <c r="L462" s="81" t="n">
        <f aca="false">H462*K462+H434*(1-K462)</f>
        <v>116875</v>
      </c>
      <c r="M462" s="81" t="n">
        <f aca="false">L462*'W Programs'!$M$14*'W Programs'!$O$14</f>
        <v>0</v>
      </c>
      <c r="N462" s="81" t="n">
        <f aca="false">I462*'W Assumptions'!$D$55+I448*(1-'W Assumptions'!$D$55)</f>
        <v>58437.5</v>
      </c>
      <c r="O462" s="81" t="n">
        <f aca="false">H462-I462-J462</f>
        <v>58437.5</v>
      </c>
    </row>
    <row r="463" customFormat="false" ht="21" hidden="false" customHeight="true" outlineLevel="0" collapsed="false">
      <c r="C463" s="144" t="n">
        <f aca="false">47239</f>
        <v>47239</v>
      </c>
      <c r="D463" s="81" t="n">
        <f aca="false">3</f>
        <v>3</v>
      </c>
      <c r="E463" s="81" t="str">
        <f aca="false">'W Programs'!C15</f>
        <v>WOO IP</v>
      </c>
      <c r="F463" s="81" t="str">
        <f aca="false">'W Programs'!D15</f>
        <v>Workshops</v>
      </c>
      <c r="G463" s="145" t="n">
        <f aca="false">INDEX('W Programs'!$F$15:$H$15,1,D463)*INDEX('W Assumptions'!$D$7:$F$7,1,D463)*'W Assumptions'!F103/SUM('W Assumptions'!F$95:F$106)</f>
        <v>11.9166666666667</v>
      </c>
      <c r="H463" s="81" t="n">
        <f aca="false">G463*INDEX('W Programs'!$I$15:$K$15,1,D463)*INDEX('W Assumptions'!$D$12:$F$12,1,D463)</f>
        <v>65541.6666666667</v>
      </c>
      <c r="I463" s="81" t="n">
        <f aca="false">H463*CHOOSE(D463,'W Programs'!L15,'W Programs'!Q15,'W Programs'!R15)*INDEX('W Assumptions'!$D$17:$F$17,1,D463)</f>
        <v>26216.6666666667</v>
      </c>
      <c r="J463" s="81" t="n">
        <f aca="false">H463*'W Programs'!$M$15*'W Programs'!$O$15</f>
        <v>0</v>
      </c>
      <c r="K463" s="149" t="n">
        <f aca="false">'W Programs'!$N$15</f>
        <v>0.7</v>
      </c>
      <c r="L463" s="81" t="n">
        <f aca="false">H463*K463+H435*(1-K463)</f>
        <v>65541.6666666667</v>
      </c>
      <c r="M463" s="81" t="n">
        <f aca="false">L463*'W Programs'!$M$15*'W Programs'!$O$15</f>
        <v>0</v>
      </c>
      <c r="N463" s="81" t="n">
        <f aca="false">I463*'W Assumptions'!$D$55+I449*(1-'W Assumptions'!$D$55)</f>
        <v>26216.6666666667</v>
      </c>
      <c r="O463" s="81" t="n">
        <f aca="false">H463-I463-J463</f>
        <v>39325</v>
      </c>
    </row>
    <row r="464" customFormat="false" ht="21" hidden="false" customHeight="true" outlineLevel="0" collapsed="false">
      <c r="C464" s="144" t="n">
        <f aca="false">47239</f>
        <v>47239</v>
      </c>
      <c r="D464" s="81" t="n">
        <f aca="false">3</f>
        <v>3</v>
      </c>
      <c r="E464" s="81" t="str">
        <f aca="false">'W Programs'!C16</f>
        <v>WOO IP</v>
      </c>
      <c r="F464" s="81" t="str">
        <f aca="false">'W Programs'!D16</f>
        <v>Installations</v>
      </c>
      <c r="G464" s="145" t="n">
        <f aca="false">INDEX('W Programs'!$F$16:$H$16,1,D464)*INDEX('W Assumptions'!$D$7:$F$7,1,D464)*'W Assumptions'!F103/SUM('W Assumptions'!F$95:F$106)</f>
        <v>0.229166666666667</v>
      </c>
      <c r="H464" s="81" t="n">
        <f aca="false">G464*INDEX('W Programs'!$I$16:$K$16,1,D464)*INDEX('W Assumptions'!$D$12:$F$12,1,D464)</f>
        <v>75625</v>
      </c>
      <c r="I464" s="81" t="n">
        <f aca="false">H464*CHOOSE(D464,'W Programs'!L16,'W Programs'!Q16,'W Programs'!R16)*INDEX('W Assumptions'!$D$17:$F$17,1,D464)</f>
        <v>43862.5</v>
      </c>
      <c r="J464" s="81" t="n">
        <f aca="false">H464*'W Programs'!$M$16*'W Programs'!$O$16</f>
        <v>0</v>
      </c>
      <c r="K464" s="149" t="n">
        <f aca="false">'W Programs'!$N$16</f>
        <v>0.3</v>
      </c>
      <c r="L464" s="81" t="n">
        <f aca="false">H464*K464+H436*(1-K464)</f>
        <v>75625</v>
      </c>
      <c r="M464" s="81" t="n">
        <f aca="false">L464*'W Programs'!$M$16*'W Programs'!$O$16</f>
        <v>0</v>
      </c>
      <c r="N464" s="81" t="n">
        <f aca="false">I464*'W Assumptions'!$D$55+I450*(1-'W Assumptions'!$D$55)</f>
        <v>43862.5</v>
      </c>
      <c r="O464" s="81" t="n">
        <f aca="false">H464-I464-J464</f>
        <v>31762.5</v>
      </c>
    </row>
    <row r="465" customFormat="false" ht="21" hidden="false" customHeight="true" outlineLevel="0" collapsed="false">
      <c r="C465" s="144" t="n">
        <f aca="false">47239</f>
        <v>47239</v>
      </c>
      <c r="D465" s="81" t="n">
        <f aca="false">3</f>
        <v>3</v>
      </c>
      <c r="E465" s="81" t="str">
        <f aca="false">'W Programs'!C17</f>
        <v>WOO IP</v>
      </c>
      <c r="F465" s="81" t="str">
        <f aca="false">'W Programs'!D17</f>
        <v>Digital</v>
      </c>
      <c r="G465" s="145" t="n">
        <f aca="false">INDEX('W Programs'!$F$17:$H$17,1,D465)*INDEX('W Assumptions'!$D$7:$F$7,1,D465)*'W Assumptions'!F103/SUM('W Assumptions'!F$95:F$106)</f>
        <v>183.333333333333</v>
      </c>
      <c r="H465" s="81" t="n">
        <f aca="false">G465*INDEX('W Programs'!$I$17:$K$17,1,D465)*INDEX('W Assumptions'!$D$12:$F$12,1,D465)</f>
        <v>68750</v>
      </c>
      <c r="I465" s="81" t="n">
        <f aca="false">H465*CHOOSE(D465,'W Programs'!L17,'W Programs'!Q17,'W Programs'!R17)*INDEX('W Assumptions'!$D$17:$F$17,1,D465)</f>
        <v>11000</v>
      </c>
      <c r="J465" s="81" t="n">
        <f aca="false">H465*'W Programs'!$M$17*'W Programs'!$O$17</f>
        <v>0</v>
      </c>
      <c r="K465" s="149" t="n">
        <f aca="false">'W Programs'!$N$17</f>
        <v>1</v>
      </c>
      <c r="L465" s="81" t="n">
        <f aca="false">H465*K465+H437*(1-K465)</f>
        <v>68750</v>
      </c>
      <c r="M465" s="81" t="n">
        <f aca="false">L465*'W Programs'!$M$17*'W Programs'!$O$17</f>
        <v>0</v>
      </c>
      <c r="N465" s="81" t="n">
        <f aca="false">I465*'W Assumptions'!$D$55+I451*(1-'W Assumptions'!$D$55)</f>
        <v>11000</v>
      </c>
      <c r="O465" s="81" t="n">
        <f aca="false">H465-I465-J465</f>
        <v>57750</v>
      </c>
    </row>
    <row r="466" customFormat="false" ht="21" hidden="false" customHeight="true" outlineLevel="0" collapsed="false">
      <c r="C466" s="144" t="n">
        <f aca="false">47239</f>
        <v>47239</v>
      </c>
      <c r="D466" s="81" t="n">
        <f aca="false">3</f>
        <v>3</v>
      </c>
      <c r="E466" s="81" t="str">
        <f aca="false">'W Programs'!C18</f>
        <v>WOO IP</v>
      </c>
      <c r="F466" s="81" t="str">
        <f aca="false">'W Programs'!D18</f>
        <v>Retail</v>
      </c>
      <c r="G466" s="145" t="n">
        <f aca="false">INDEX('W Programs'!$F$18:$H$18,1,D466)*INDEX('W Assumptions'!$D$7:$F$7,1,D466)*'W Assumptions'!F103/SUM('W Assumptions'!F$95:F$106)</f>
        <v>412.5</v>
      </c>
      <c r="H466" s="81" t="n">
        <f aca="false">G466*INDEX('W Programs'!$I$18:$K$18,1,D466)*INDEX('W Assumptions'!$D$12:$F$12,1,D466)</f>
        <v>107250</v>
      </c>
      <c r="I466" s="81" t="n">
        <f aca="false">H466*CHOOSE(D466,'W Programs'!L18,'W Programs'!Q18,'W Programs'!R18)*INDEX('W Assumptions'!$D$17:$F$17,1,D466)</f>
        <v>51480</v>
      </c>
      <c r="J466" s="81" t="n">
        <f aca="false">H466*'W Programs'!$M$18*'W Programs'!$O$18</f>
        <v>0</v>
      </c>
      <c r="K466" s="149" t="n">
        <f aca="false">'W Programs'!$N$18</f>
        <v>1</v>
      </c>
      <c r="L466" s="81" t="n">
        <f aca="false">H466*K466+H438*(1-K466)</f>
        <v>107250</v>
      </c>
      <c r="M466" s="81" t="n">
        <f aca="false">L466*'W Programs'!$M$18*'W Programs'!$O$18</f>
        <v>0</v>
      </c>
      <c r="N466" s="81" t="n">
        <f aca="false">I466*'W Assumptions'!$D$55+I452*(1-'W Assumptions'!$D$55)</f>
        <v>51480</v>
      </c>
      <c r="O466" s="81" t="n">
        <f aca="false">H466-I466-J466</f>
        <v>55770</v>
      </c>
    </row>
    <row r="467" customFormat="false" ht="21" hidden="false" customHeight="true" outlineLevel="0" collapsed="false">
      <c r="C467" s="144" t="n">
        <f aca="false">47239</f>
        <v>47239</v>
      </c>
      <c r="D467" s="81" t="n">
        <f aca="false">3</f>
        <v>3</v>
      </c>
      <c r="E467" s="81" t="str">
        <f aca="false">'W Programs'!C19</f>
        <v>WOO IP</v>
      </c>
      <c r="F467" s="81" t="str">
        <f aca="false">'W Programs'!D19</f>
        <v>Licensing</v>
      </c>
      <c r="G467" s="145" t="n">
        <f aca="false">INDEX('W Programs'!$F$19:$H$19,1,D467)*INDEX('W Assumptions'!$D$7:$F$7,1,D467)*'W Assumptions'!F103/SUM('W Assumptions'!F$95:F$106)</f>
        <v>0.0458333333333333</v>
      </c>
      <c r="H467" s="81" t="n">
        <f aca="false">G467*INDEX('W Programs'!$I$19:$K$19,1,D467)*INDEX('W Assumptions'!$D$12:$F$12,1,D467)</f>
        <v>36666.6666666667</v>
      </c>
      <c r="I467" s="81" t="n">
        <f aca="false">H467*CHOOSE(D467,'W Programs'!L19,'W Programs'!Q19,'W Programs'!R19)*INDEX('W Assumptions'!$D$17:$F$17,1,D467)</f>
        <v>3666.66666666667</v>
      </c>
      <c r="J467" s="81" t="n">
        <f aca="false">H467*'W Programs'!$M$19*'W Programs'!$O$19</f>
        <v>0</v>
      </c>
      <c r="K467" s="149" t="n">
        <f aca="false">'W Programs'!$N$19</f>
        <v>0.3</v>
      </c>
      <c r="L467" s="81" t="n">
        <f aca="false">H467*K467+H439*(1-K467)</f>
        <v>36666.6666666667</v>
      </c>
      <c r="M467" s="81" t="n">
        <f aca="false">L467*'W Programs'!$M$19*'W Programs'!$O$19</f>
        <v>0</v>
      </c>
      <c r="N467" s="81" t="n">
        <f aca="false">I467*'W Assumptions'!$D$55+I453*(1-'W Assumptions'!$D$55)</f>
        <v>3666.66666666667</v>
      </c>
      <c r="O467" s="81" t="n">
        <f aca="false">H467-I467-J467</f>
        <v>33000</v>
      </c>
    </row>
    <row r="468" customFormat="false" ht="21" hidden="false" customHeight="true" outlineLevel="0" collapsed="false">
      <c r="C468" s="144" t="n">
        <f aca="false">47270</f>
        <v>47270</v>
      </c>
      <c r="D468" s="81" t="n">
        <f aca="false">3</f>
        <v>3</v>
      </c>
      <c r="E468" s="81" t="str">
        <f aca="false">'W Programs'!C6</f>
        <v>TLI</v>
      </c>
      <c r="F468" s="81" t="str">
        <f aca="false">'W Programs'!D6</f>
        <v>Schools</v>
      </c>
      <c r="G468" s="145" t="n">
        <f aca="false">INDEX('W Programs'!$F$6:$H$6,1,D468)*INDEX('W Assumptions'!$D$7:$F$7,1,D468)*'W Assumptions'!F104/SUM('W Assumptions'!F$95:F$106)</f>
        <v>0.9375</v>
      </c>
      <c r="H468" s="81" t="n">
        <f aca="false">G468*INDEX('W Programs'!$I$6:$K$6,1,D468)*INDEX('W Assumptions'!$D$12:$F$12,1,D468)</f>
        <v>178125</v>
      </c>
      <c r="I468" s="81" t="n">
        <f aca="false">H468*CHOOSE(D468,'W Programs'!L6,'W Programs'!Q6,'W Programs'!R6)*INDEX('W Assumptions'!$D$17:$F$17,1,D468)</f>
        <v>67687.5</v>
      </c>
      <c r="J468" s="81" t="n">
        <f aca="false">H468*'W Programs'!$M$6*'W Programs'!$O$6</f>
        <v>0</v>
      </c>
      <c r="K468" s="149" t="n">
        <f aca="false">'W Programs'!$N$6</f>
        <v>0.3</v>
      </c>
      <c r="L468" s="81" t="n">
        <f aca="false">H468*K468+H440*(1-K468)</f>
        <v>178125</v>
      </c>
      <c r="M468" s="81" t="n">
        <f aca="false">L468*'W Programs'!$M$6*'W Programs'!$O$6</f>
        <v>0</v>
      </c>
      <c r="N468" s="81" t="n">
        <f aca="false">I468*'W Assumptions'!$D$55+I454*(1-'W Assumptions'!$D$55)</f>
        <v>67687.5</v>
      </c>
      <c r="O468" s="81" t="n">
        <f aca="false">H468-I468-J468</f>
        <v>110437.5</v>
      </c>
    </row>
    <row r="469" customFormat="false" ht="21" hidden="false" customHeight="true" outlineLevel="0" collapsed="false">
      <c r="C469" s="144" t="n">
        <f aca="false">47270</f>
        <v>47270</v>
      </c>
      <c r="D469" s="81" t="n">
        <f aca="false">3</f>
        <v>3</v>
      </c>
      <c r="E469" s="81" t="str">
        <f aca="false">'W Programs'!C7</f>
        <v>TLI</v>
      </c>
      <c r="F469" s="81" t="str">
        <f aca="false">'W Programs'!D7</f>
        <v>Activations</v>
      </c>
      <c r="G469" s="145" t="n">
        <f aca="false">INDEX('W Programs'!$F$7:$H$7,1,D469)*INDEX('W Assumptions'!$D$7:$F$7,1,D469)*'W Assumptions'!F104/SUM('W Assumptions'!F$95:F$106)</f>
        <v>1.125</v>
      </c>
      <c r="H469" s="81" t="n">
        <f aca="false">G469*INDEX('W Programs'!$I$7:$K$7,1,D469)*INDEX('W Assumptions'!$D$12:$F$12,1,D469)</f>
        <v>95625</v>
      </c>
      <c r="I469" s="81" t="n">
        <f aca="false">H469*CHOOSE(D469,'W Programs'!L7,'W Programs'!Q7,'W Programs'!R7)*INDEX('W Assumptions'!$D$17:$F$17,1,D469)</f>
        <v>47812.5</v>
      </c>
      <c r="J469" s="81" t="n">
        <f aca="false">H469*'W Programs'!$M$7*'W Programs'!$O$7</f>
        <v>0</v>
      </c>
      <c r="K469" s="149" t="n">
        <f aca="false">'W Programs'!$N$7</f>
        <v>0.3</v>
      </c>
      <c r="L469" s="81" t="n">
        <f aca="false">H469*K469+H441*(1-K469)</f>
        <v>95625</v>
      </c>
      <c r="M469" s="81" t="n">
        <f aca="false">L469*'W Programs'!$M$7*'W Programs'!$O$7</f>
        <v>0</v>
      </c>
      <c r="N469" s="81" t="n">
        <f aca="false">I469*'W Assumptions'!$D$55+I455*(1-'W Assumptions'!$D$55)</f>
        <v>47812.5</v>
      </c>
      <c r="O469" s="81" t="n">
        <f aca="false">H469-I469-J469</f>
        <v>47812.5</v>
      </c>
    </row>
    <row r="470" customFormat="false" ht="21" hidden="false" customHeight="true" outlineLevel="0" collapsed="false">
      <c r="C470" s="144" t="n">
        <f aca="false">47270</f>
        <v>47270</v>
      </c>
      <c r="D470" s="81" t="n">
        <f aca="false">3</f>
        <v>3</v>
      </c>
      <c r="E470" s="81" t="str">
        <f aca="false">'W Programs'!C8</f>
        <v>TLI</v>
      </c>
      <c r="F470" s="81" t="str">
        <f aca="false">'W Programs'!D8</f>
        <v>Workshops</v>
      </c>
      <c r="G470" s="145" t="n">
        <f aca="false">INDEX('W Programs'!$F$8:$H$8,1,D470)*INDEX('W Assumptions'!$D$7:$F$7,1,D470)*'W Assumptions'!F104/SUM('W Assumptions'!F$95:F$106)</f>
        <v>9.75</v>
      </c>
      <c r="H470" s="81" t="n">
        <f aca="false">G470*INDEX('W Programs'!$I$8:$K$8,1,D470)*INDEX('W Assumptions'!$D$12:$F$12,1,D470)</f>
        <v>53625</v>
      </c>
      <c r="I470" s="81" t="n">
        <f aca="false">H470*CHOOSE(D470,'W Programs'!L8,'W Programs'!Q8,'W Programs'!R8)*INDEX('W Assumptions'!$D$17:$F$17,1,D470)</f>
        <v>21450</v>
      </c>
      <c r="J470" s="81" t="n">
        <f aca="false">H470*'W Programs'!$M$8*'W Programs'!$O$8</f>
        <v>0</v>
      </c>
      <c r="K470" s="149" t="n">
        <f aca="false">'W Programs'!$N$8</f>
        <v>0.7</v>
      </c>
      <c r="L470" s="81" t="n">
        <f aca="false">H470*K470+H442*(1-K470)</f>
        <v>53625</v>
      </c>
      <c r="M470" s="81" t="n">
        <f aca="false">L470*'W Programs'!$M$8*'W Programs'!$O$8</f>
        <v>0</v>
      </c>
      <c r="N470" s="81" t="n">
        <f aca="false">I470*'W Assumptions'!$D$55+I456*(1-'W Assumptions'!$D$55)</f>
        <v>21450</v>
      </c>
      <c r="O470" s="81" t="n">
        <f aca="false">H470-I470-J470</f>
        <v>32175</v>
      </c>
    </row>
    <row r="471" customFormat="false" ht="21" hidden="false" customHeight="true" outlineLevel="0" collapsed="false">
      <c r="C471" s="144" t="n">
        <f aca="false">47270</f>
        <v>47270</v>
      </c>
      <c r="D471" s="81" t="n">
        <f aca="false">3</f>
        <v>3</v>
      </c>
      <c r="E471" s="81" t="str">
        <f aca="false">'W Programs'!C9</f>
        <v>TLI</v>
      </c>
      <c r="F471" s="81" t="str">
        <f aca="false">'W Programs'!D9</f>
        <v>Installations</v>
      </c>
      <c r="G471" s="145" t="n">
        <f aca="false">INDEX('W Programs'!$F$9:$H$9,1,D471)*INDEX('W Assumptions'!$D$7:$F$7,1,D471)*'W Assumptions'!F104/SUM('W Assumptions'!F$95:F$106)</f>
        <v>0.1875</v>
      </c>
      <c r="H471" s="81" t="n">
        <f aca="false">G471*INDEX('W Programs'!$I$9:$K$9,1,D471)*INDEX('W Assumptions'!$D$12:$F$12,1,D471)</f>
        <v>61875</v>
      </c>
      <c r="I471" s="81" t="n">
        <f aca="false">H471*CHOOSE(D471,'W Programs'!L9,'W Programs'!Q9,'W Programs'!R9)*INDEX('W Assumptions'!$D$17:$F$17,1,D471)</f>
        <v>35887.5</v>
      </c>
      <c r="J471" s="81" t="n">
        <f aca="false">H471*'W Programs'!$M$9*'W Programs'!$O$9</f>
        <v>0</v>
      </c>
      <c r="K471" s="149" t="n">
        <f aca="false">'W Programs'!$N$9</f>
        <v>0.3</v>
      </c>
      <c r="L471" s="81" t="n">
        <f aca="false">H471*K471+H443*(1-K471)</f>
        <v>61875</v>
      </c>
      <c r="M471" s="81" t="n">
        <f aca="false">L471*'W Programs'!$M$9*'W Programs'!$O$9</f>
        <v>0</v>
      </c>
      <c r="N471" s="81" t="n">
        <f aca="false">I471*'W Assumptions'!$D$55+I457*(1-'W Assumptions'!$D$55)</f>
        <v>35887.5</v>
      </c>
      <c r="O471" s="81" t="n">
        <f aca="false">H471-I471-J471</f>
        <v>25987.5</v>
      </c>
    </row>
    <row r="472" customFormat="false" ht="21" hidden="false" customHeight="true" outlineLevel="0" collapsed="false">
      <c r="C472" s="144" t="n">
        <f aca="false">47270</f>
        <v>47270</v>
      </c>
      <c r="D472" s="81" t="n">
        <f aca="false">3</f>
        <v>3</v>
      </c>
      <c r="E472" s="81" t="str">
        <f aca="false">'W Programs'!C10</f>
        <v>TLI</v>
      </c>
      <c r="F472" s="81" t="str">
        <f aca="false">'W Programs'!D10</f>
        <v>Digital</v>
      </c>
      <c r="G472" s="145" t="n">
        <f aca="false">INDEX('W Programs'!$F$10:$H$10,1,D472)*INDEX('W Assumptions'!$D$7:$F$7,1,D472)*'W Assumptions'!F104/SUM('W Assumptions'!F$95:F$106)</f>
        <v>150</v>
      </c>
      <c r="H472" s="81" t="n">
        <f aca="false">G472*INDEX('W Programs'!$I$10:$K$10,1,D472)*INDEX('W Assumptions'!$D$12:$F$12,1,D472)</f>
        <v>56250</v>
      </c>
      <c r="I472" s="81" t="n">
        <f aca="false">H472*CHOOSE(D472,'W Programs'!L10,'W Programs'!Q10,'W Programs'!R10)*INDEX('W Assumptions'!$D$17:$F$17,1,D472)</f>
        <v>9000</v>
      </c>
      <c r="J472" s="81" t="n">
        <f aca="false">H472*'W Programs'!$M$10*'W Programs'!$O$10</f>
        <v>0</v>
      </c>
      <c r="K472" s="149" t="n">
        <f aca="false">'W Programs'!$N$10</f>
        <v>1</v>
      </c>
      <c r="L472" s="81" t="n">
        <f aca="false">H472*K472+H444*(1-K472)</f>
        <v>56250</v>
      </c>
      <c r="M472" s="81" t="n">
        <f aca="false">L472*'W Programs'!$M$10*'W Programs'!$O$10</f>
        <v>0</v>
      </c>
      <c r="N472" s="81" t="n">
        <f aca="false">I472*'W Assumptions'!$D$55+I458*(1-'W Assumptions'!$D$55)</f>
        <v>9000</v>
      </c>
      <c r="O472" s="81" t="n">
        <f aca="false">H472-I472-J472</f>
        <v>47250</v>
      </c>
    </row>
    <row r="473" customFormat="false" ht="21" hidden="false" customHeight="true" outlineLevel="0" collapsed="false">
      <c r="C473" s="144" t="n">
        <f aca="false">47270</f>
        <v>47270</v>
      </c>
      <c r="D473" s="81" t="n">
        <f aca="false">3</f>
        <v>3</v>
      </c>
      <c r="E473" s="81" t="str">
        <f aca="false">'W Programs'!C11</f>
        <v>TLI</v>
      </c>
      <c r="F473" s="81" t="str">
        <f aca="false">'W Programs'!D11</f>
        <v>Retail</v>
      </c>
      <c r="G473" s="145" t="n">
        <f aca="false">INDEX('W Programs'!$F$11:$H$11,1,D473)*INDEX('W Assumptions'!$D$7:$F$7,1,D473)*'W Assumptions'!F104/SUM('W Assumptions'!F$95:F$106)</f>
        <v>337.5</v>
      </c>
      <c r="H473" s="81" t="n">
        <f aca="false">G473*INDEX('W Programs'!$I$11:$K$11,1,D473)*INDEX('W Assumptions'!$D$12:$F$12,1,D473)</f>
        <v>87750</v>
      </c>
      <c r="I473" s="81" t="n">
        <f aca="false">H473*CHOOSE(D473,'W Programs'!L11,'W Programs'!Q11,'W Programs'!R11)*INDEX('W Assumptions'!$D$17:$F$17,1,D473)</f>
        <v>42120</v>
      </c>
      <c r="J473" s="81" t="n">
        <f aca="false">H473*'W Programs'!$M$11*'W Programs'!$O$11</f>
        <v>0</v>
      </c>
      <c r="K473" s="149" t="n">
        <f aca="false">'W Programs'!$N$11</f>
        <v>1</v>
      </c>
      <c r="L473" s="81" t="n">
        <f aca="false">H473*K473+H445*(1-K473)</f>
        <v>87750</v>
      </c>
      <c r="M473" s="81" t="n">
        <f aca="false">L473*'W Programs'!$M$11*'W Programs'!$O$11</f>
        <v>0</v>
      </c>
      <c r="N473" s="81" t="n">
        <f aca="false">I473*'W Assumptions'!$D$55+I459*(1-'W Assumptions'!$D$55)</f>
        <v>42120</v>
      </c>
      <c r="O473" s="81" t="n">
        <f aca="false">H473-I473-J473</f>
        <v>45630</v>
      </c>
    </row>
    <row r="474" customFormat="false" ht="21" hidden="false" customHeight="true" outlineLevel="0" collapsed="false">
      <c r="C474" s="144" t="n">
        <f aca="false">47270</f>
        <v>47270</v>
      </c>
      <c r="D474" s="81" t="n">
        <f aca="false">3</f>
        <v>3</v>
      </c>
      <c r="E474" s="81" t="str">
        <f aca="false">'W Programs'!C12</f>
        <v>TLI</v>
      </c>
      <c r="F474" s="81" t="str">
        <f aca="false">'W Programs'!D12</f>
        <v>Licensing</v>
      </c>
      <c r="G474" s="145" t="n">
        <f aca="false">INDEX('W Programs'!$F$12:$H$12,1,D474)*INDEX('W Assumptions'!$D$7:$F$7,1,D474)*'W Assumptions'!F104/SUM('W Assumptions'!F$95:F$106)</f>
        <v>0.0375</v>
      </c>
      <c r="H474" s="81" t="n">
        <f aca="false">G474*INDEX('W Programs'!$I$12:$K$12,1,D474)*INDEX('W Assumptions'!$D$12:$F$12,1,D474)</f>
        <v>30000</v>
      </c>
      <c r="I474" s="81" t="n">
        <f aca="false">H474*CHOOSE(D474,'W Programs'!L12,'W Programs'!Q12,'W Programs'!R12)*INDEX('W Assumptions'!$D$17:$F$17,1,D474)</f>
        <v>3000</v>
      </c>
      <c r="J474" s="81" t="n">
        <f aca="false">H474*'W Programs'!$M$12*'W Programs'!$O$12</f>
        <v>0</v>
      </c>
      <c r="K474" s="149" t="n">
        <f aca="false">'W Programs'!$N$12</f>
        <v>0.3</v>
      </c>
      <c r="L474" s="81" t="n">
        <f aca="false">H474*K474+H446*(1-K474)</f>
        <v>30000</v>
      </c>
      <c r="M474" s="81" t="n">
        <f aca="false">L474*'W Programs'!$M$12*'W Programs'!$O$12</f>
        <v>0</v>
      </c>
      <c r="N474" s="81" t="n">
        <f aca="false">I474*'W Assumptions'!$D$55+I460*(1-'W Assumptions'!$D$55)</f>
        <v>3000</v>
      </c>
      <c r="O474" s="81" t="n">
        <f aca="false">H474-I474-J474</f>
        <v>27000</v>
      </c>
    </row>
    <row r="475" customFormat="false" ht="21" hidden="false" customHeight="true" outlineLevel="0" collapsed="false">
      <c r="C475" s="144" t="n">
        <f aca="false">47270</f>
        <v>47270</v>
      </c>
      <c r="D475" s="81" t="n">
        <f aca="false">3</f>
        <v>3</v>
      </c>
      <c r="E475" s="81" t="str">
        <f aca="false">'W Programs'!C13</f>
        <v>WOO IP</v>
      </c>
      <c r="F475" s="81" t="str">
        <f aca="false">'W Programs'!D13</f>
        <v>Schools</v>
      </c>
      <c r="G475" s="145" t="n">
        <f aca="false">INDEX('W Programs'!$F$13:$H$13,1,D475)*INDEX('W Assumptions'!$D$7:$F$7,1,D475)*'W Assumptions'!F104/SUM('W Assumptions'!F$95:F$106)</f>
        <v>1.14583333333333</v>
      </c>
      <c r="H475" s="81" t="n">
        <f aca="false">G475*INDEX('W Programs'!$I$13:$K$13,1,D475)*INDEX('W Assumptions'!$D$12:$F$12,1,D475)</f>
        <v>217708.333333333</v>
      </c>
      <c r="I475" s="81" t="n">
        <f aca="false">H475*CHOOSE(D475,'W Programs'!L13,'W Programs'!Q13,'W Programs'!R13)*INDEX('W Assumptions'!$D$17:$F$17,1,D475)</f>
        <v>82729.1666666667</v>
      </c>
      <c r="J475" s="81" t="n">
        <f aca="false">H475*'W Programs'!$M$13*'W Programs'!$O$13</f>
        <v>0</v>
      </c>
      <c r="K475" s="149" t="n">
        <f aca="false">'W Programs'!$N$13</f>
        <v>0.3</v>
      </c>
      <c r="L475" s="81" t="n">
        <f aca="false">H475*K475+H447*(1-K475)</f>
        <v>217708.333333333</v>
      </c>
      <c r="M475" s="81" t="n">
        <f aca="false">L475*'W Programs'!$M$13*'W Programs'!$O$13</f>
        <v>0</v>
      </c>
      <c r="N475" s="81" t="n">
        <f aca="false">I475*'W Assumptions'!$D$55+I461*(1-'W Assumptions'!$D$55)</f>
        <v>82729.1666666667</v>
      </c>
      <c r="O475" s="81" t="n">
        <f aca="false">H475-I475-J475</f>
        <v>134979.166666667</v>
      </c>
    </row>
    <row r="476" customFormat="false" ht="21" hidden="false" customHeight="true" outlineLevel="0" collapsed="false">
      <c r="C476" s="144" t="n">
        <f aca="false">47270</f>
        <v>47270</v>
      </c>
      <c r="D476" s="81" t="n">
        <f aca="false">3</f>
        <v>3</v>
      </c>
      <c r="E476" s="81" t="str">
        <f aca="false">'W Programs'!C14</f>
        <v>WOO IP</v>
      </c>
      <c r="F476" s="81" t="str">
        <f aca="false">'W Programs'!D14</f>
        <v>Activations</v>
      </c>
      <c r="G476" s="145" t="n">
        <f aca="false">INDEX('W Programs'!$F$14:$H$14,1,D476)*INDEX('W Assumptions'!$D$7:$F$7,1,D476)*'W Assumptions'!F104/SUM('W Assumptions'!F$95:F$106)</f>
        <v>1.375</v>
      </c>
      <c r="H476" s="81" t="n">
        <f aca="false">G476*INDEX('W Programs'!$I$14:$K$14,1,D476)*INDEX('W Assumptions'!$D$12:$F$12,1,D476)</f>
        <v>116875</v>
      </c>
      <c r="I476" s="81" t="n">
        <f aca="false">H476*CHOOSE(D476,'W Programs'!L14,'W Programs'!Q14,'W Programs'!R14)*INDEX('W Assumptions'!$D$17:$F$17,1,D476)</f>
        <v>58437.5</v>
      </c>
      <c r="J476" s="81" t="n">
        <f aca="false">H476*'W Programs'!$M$14*'W Programs'!$O$14</f>
        <v>0</v>
      </c>
      <c r="K476" s="149" t="n">
        <f aca="false">'W Programs'!$N$14</f>
        <v>0.3</v>
      </c>
      <c r="L476" s="81" t="n">
        <f aca="false">H476*K476+H448*(1-K476)</f>
        <v>116875</v>
      </c>
      <c r="M476" s="81" t="n">
        <f aca="false">L476*'W Programs'!$M$14*'W Programs'!$O$14</f>
        <v>0</v>
      </c>
      <c r="N476" s="81" t="n">
        <f aca="false">I476*'W Assumptions'!$D$55+I462*(1-'W Assumptions'!$D$55)</f>
        <v>58437.5</v>
      </c>
      <c r="O476" s="81" t="n">
        <f aca="false">H476-I476-J476</f>
        <v>58437.5</v>
      </c>
    </row>
    <row r="477" customFormat="false" ht="21" hidden="false" customHeight="true" outlineLevel="0" collapsed="false">
      <c r="C477" s="144" t="n">
        <f aca="false">47270</f>
        <v>47270</v>
      </c>
      <c r="D477" s="81" t="n">
        <f aca="false">3</f>
        <v>3</v>
      </c>
      <c r="E477" s="81" t="str">
        <f aca="false">'W Programs'!C15</f>
        <v>WOO IP</v>
      </c>
      <c r="F477" s="81" t="str">
        <f aca="false">'W Programs'!D15</f>
        <v>Workshops</v>
      </c>
      <c r="G477" s="145" t="n">
        <f aca="false">INDEX('W Programs'!$F$15:$H$15,1,D477)*INDEX('W Assumptions'!$D$7:$F$7,1,D477)*'W Assumptions'!F104/SUM('W Assumptions'!F$95:F$106)</f>
        <v>11.9166666666667</v>
      </c>
      <c r="H477" s="81" t="n">
        <f aca="false">G477*INDEX('W Programs'!$I$15:$K$15,1,D477)*INDEX('W Assumptions'!$D$12:$F$12,1,D477)</f>
        <v>65541.6666666667</v>
      </c>
      <c r="I477" s="81" t="n">
        <f aca="false">H477*CHOOSE(D477,'W Programs'!L15,'W Programs'!Q15,'W Programs'!R15)*INDEX('W Assumptions'!$D$17:$F$17,1,D477)</f>
        <v>26216.6666666667</v>
      </c>
      <c r="J477" s="81" t="n">
        <f aca="false">H477*'W Programs'!$M$15*'W Programs'!$O$15</f>
        <v>0</v>
      </c>
      <c r="K477" s="149" t="n">
        <f aca="false">'W Programs'!$N$15</f>
        <v>0.7</v>
      </c>
      <c r="L477" s="81" t="n">
        <f aca="false">H477*K477+H449*(1-K477)</f>
        <v>65541.6666666667</v>
      </c>
      <c r="M477" s="81" t="n">
        <f aca="false">L477*'W Programs'!$M$15*'W Programs'!$O$15</f>
        <v>0</v>
      </c>
      <c r="N477" s="81" t="n">
        <f aca="false">I477*'W Assumptions'!$D$55+I463*(1-'W Assumptions'!$D$55)</f>
        <v>26216.6666666667</v>
      </c>
      <c r="O477" s="81" t="n">
        <f aca="false">H477-I477-J477</f>
        <v>39325</v>
      </c>
    </row>
    <row r="478" customFormat="false" ht="21" hidden="false" customHeight="true" outlineLevel="0" collapsed="false">
      <c r="C478" s="144" t="n">
        <f aca="false">47270</f>
        <v>47270</v>
      </c>
      <c r="D478" s="81" t="n">
        <f aca="false">3</f>
        <v>3</v>
      </c>
      <c r="E478" s="81" t="str">
        <f aca="false">'W Programs'!C16</f>
        <v>WOO IP</v>
      </c>
      <c r="F478" s="81" t="str">
        <f aca="false">'W Programs'!D16</f>
        <v>Installations</v>
      </c>
      <c r="G478" s="145" t="n">
        <f aca="false">INDEX('W Programs'!$F$16:$H$16,1,D478)*INDEX('W Assumptions'!$D$7:$F$7,1,D478)*'W Assumptions'!F104/SUM('W Assumptions'!F$95:F$106)</f>
        <v>0.229166666666667</v>
      </c>
      <c r="H478" s="81" t="n">
        <f aca="false">G478*INDEX('W Programs'!$I$16:$K$16,1,D478)*INDEX('W Assumptions'!$D$12:$F$12,1,D478)</f>
        <v>75625</v>
      </c>
      <c r="I478" s="81" t="n">
        <f aca="false">H478*CHOOSE(D478,'W Programs'!L16,'W Programs'!Q16,'W Programs'!R16)*INDEX('W Assumptions'!$D$17:$F$17,1,D478)</f>
        <v>43862.5</v>
      </c>
      <c r="J478" s="81" t="n">
        <f aca="false">H478*'W Programs'!$M$16*'W Programs'!$O$16</f>
        <v>0</v>
      </c>
      <c r="K478" s="149" t="n">
        <f aca="false">'W Programs'!$N$16</f>
        <v>0.3</v>
      </c>
      <c r="L478" s="81" t="n">
        <f aca="false">H478*K478+H450*(1-K478)</f>
        <v>75625</v>
      </c>
      <c r="M478" s="81" t="n">
        <f aca="false">L478*'W Programs'!$M$16*'W Programs'!$O$16</f>
        <v>0</v>
      </c>
      <c r="N478" s="81" t="n">
        <f aca="false">I478*'W Assumptions'!$D$55+I464*(1-'W Assumptions'!$D$55)</f>
        <v>43862.5</v>
      </c>
      <c r="O478" s="81" t="n">
        <f aca="false">H478-I478-J478</f>
        <v>31762.5</v>
      </c>
    </row>
    <row r="479" customFormat="false" ht="21" hidden="false" customHeight="true" outlineLevel="0" collapsed="false">
      <c r="C479" s="144" t="n">
        <f aca="false">47270</f>
        <v>47270</v>
      </c>
      <c r="D479" s="81" t="n">
        <f aca="false">3</f>
        <v>3</v>
      </c>
      <c r="E479" s="81" t="str">
        <f aca="false">'W Programs'!C17</f>
        <v>WOO IP</v>
      </c>
      <c r="F479" s="81" t="str">
        <f aca="false">'W Programs'!D17</f>
        <v>Digital</v>
      </c>
      <c r="G479" s="145" t="n">
        <f aca="false">INDEX('W Programs'!$F$17:$H$17,1,D479)*INDEX('W Assumptions'!$D$7:$F$7,1,D479)*'W Assumptions'!F104/SUM('W Assumptions'!F$95:F$106)</f>
        <v>183.333333333333</v>
      </c>
      <c r="H479" s="81" t="n">
        <f aca="false">G479*INDEX('W Programs'!$I$17:$K$17,1,D479)*INDEX('W Assumptions'!$D$12:$F$12,1,D479)</f>
        <v>68750</v>
      </c>
      <c r="I479" s="81" t="n">
        <f aca="false">H479*CHOOSE(D479,'W Programs'!L17,'W Programs'!Q17,'W Programs'!R17)*INDEX('W Assumptions'!$D$17:$F$17,1,D479)</f>
        <v>11000</v>
      </c>
      <c r="J479" s="81" t="n">
        <f aca="false">H479*'W Programs'!$M$17*'W Programs'!$O$17</f>
        <v>0</v>
      </c>
      <c r="K479" s="149" t="n">
        <f aca="false">'W Programs'!$N$17</f>
        <v>1</v>
      </c>
      <c r="L479" s="81" t="n">
        <f aca="false">H479*K479+H451*(1-K479)</f>
        <v>68750</v>
      </c>
      <c r="M479" s="81" t="n">
        <f aca="false">L479*'W Programs'!$M$17*'W Programs'!$O$17</f>
        <v>0</v>
      </c>
      <c r="N479" s="81" t="n">
        <f aca="false">I479*'W Assumptions'!$D$55+I465*(1-'W Assumptions'!$D$55)</f>
        <v>11000</v>
      </c>
      <c r="O479" s="81" t="n">
        <f aca="false">H479-I479-J479</f>
        <v>57750</v>
      </c>
    </row>
    <row r="480" customFormat="false" ht="21" hidden="false" customHeight="true" outlineLevel="0" collapsed="false">
      <c r="C480" s="144" t="n">
        <f aca="false">47270</f>
        <v>47270</v>
      </c>
      <c r="D480" s="81" t="n">
        <f aca="false">3</f>
        <v>3</v>
      </c>
      <c r="E480" s="81" t="str">
        <f aca="false">'W Programs'!C18</f>
        <v>WOO IP</v>
      </c>
      <c r="F480" s="81" t="str">
        <f aca="false">'W Programs'!D18</f>
        <v>Retail</v>
      </c>
      <c r="G480" s="145" t="n">
        <f aca="false">INDEX('W Programs'!$F$18:$H$18,1,D480)*INDEX('W Assumptions'!$D$7:$F$7,1,D480)*'W Assumptions'!F104/SUM('W Assumptions'!F$95:F$106)</f>
        <v>412.5</v>
      </c>
      <c r="H480" s="81" t="n">
        <f aca="false">G480*INDEX('W Programs'!$I$18:$K$18,1,D480)*INDEX('W Assumptions'!$D$12:$F$12,1,D480)</f>
        <v>107250</v>
      </c>
      <c r="I480" s="81" t="n">
        <f aca="false">H480*CHOOSE(D480,'W Programs'!L18,'W Programs'!Q18,'W Programs'!R18)*INDEX('W Assumptions'!$D$17:$F$17,1,D480)</f>
        <v>51480</v>
      </c>
      <c r="J480" s="81" t="n">
        <f aca="false">H480*'W Programs'!$M$18*'W Programs'!$O$18</f>
        <v>0</v>
      </c>
      <c r="K480" s="149" t="n">
        <f aca="false">'W Programs'!$N$18</f>
        <v>1</v>
      </c>
      <c r="L480" s="81" t="n">
        <f aca="false">H480*K480+H452*(1-K480)</f>
        <v>107250</v>
      </c>
      <c r="M480" s="81" t="n">
        <f aca="false">L480*'W Programs'!$M$18*'W Programs'!$O$18</f>
        <v>0</v>
      </c>
      <c r="N480" s="81" t="n">
        <f aca="false">I480*'W Assumptions'!$D$55+I466*(1-'W Assumptions'!$D$55)</f>
        <v>51480</v>
      </c>
      <c r="O480" s="81" t="n">
        <f aca="false">H480-I480-J480</f>
        <v>55770</v>
      </c>
    </row>
    <row r="481" customFormat="false" ht="21" hidden="false" customHeight="true" outlineLevel="0" collapsed="false">
      <c r="C481" s="144" t="n">
        <f aca="false">47270</f>
        <v>47270</v>
      </c>
      <c r="D481" s="81" t="n">
        <f aca="false">3</f>
        <v>3</v>
      </c>
      <c r="E481" s="81" t="str">
        <f aca="false">'W Programs'!C19</f>
        <v>WOO IP</v>
      </c>
      <c r="F481" s="81" t="str">
        <f aca="false">'W Programs'!D19</f>
        <v>Licensing</v>
      </c>
      <c r="G481" s="145" t="n">
        <f aca="false">INDEX('W Programs'!$F$19:$H$19,1,D481)*INDEX('W Assumptions'!$D$7:$F$7,1,D481)*'W Assumptions'!F104/SUM('W Assumptions'!F$95:F$106)</f>
        <v>0.0458333333333333</v>
      </c>
      <c r="H481" s="81" t="n">
        <f aca="false">G481*INDEX('W Programs'!$I$19:$K$19,1,D481)*INDEX('W Assumptions'!$D$12:$F$12,1,D481)</f>
        <v>36666.6666666667</v>
      </c>
      <c r="I481" s="81" t="n">
        <f aca="false">H481*CHOOSE(D481,'W Programs'!L19,'W Programs'!Q19,'W Programs'!R19)*INDEX('W Assumptions'!$D$17:$F$17,1,D481)</f>
        <v>3666.66666666667</v>
      </c>
      <c r="J481" s="81" t="n">
        <f aca="false">H481*'W Programs'!$M$19*'W Programs'!$O$19</f>
        <v>0</v>
      </c>
      <c r="K481" s="149" t="n">
        <f aca="false">'W Programs'!$N$19</f>
        <v>0.3</v>
      </c>
      <c r="L481" s="81" t="n">
        <f aca="false">H481*K481+H453*(1-K481)</f>
        <v>36666.6666666667</v>
      </c>
      <c r="M481" s="81" t="n">
        <f aca="false">L481*'W Programs'!$M$19*'W Programs'!$O$19</f>
        <v>0</v>
      </c>
      <c r="N481" s="81" t="n">
        <f aca="false">I481*'W Assumptions'!$D$55+I467*(1-'W Assumptions'!$D$55)</f>
        <v>3666.66666666667</v>
      </c>
      <c r="O481" s="81" t="n">
        <f aca="false">H481-I481-J481</f>
        <v>33000</v>
      </c>
    </row>
    <row r="482" customFormat="false" ht="21" hidden="false" customHeight="true" outlineLevel="0" collapsed="false">
      <c r="C482" s="144" t="n">
        <f aca="false">47300</f>
        <v>47300</v>
      </c>
      <c r="D482" s="81" t="n">
        <f aca="false">3</f>
        <v>3</v>
      </c>
      <c r="E482" s="81" t="str">
        <f aca="false">'W Programs'!C6</f>
        <v>TLI</v>
      </c>
      <c r="F482" s="81" t="str">
        <f aca="false">'W Programs'!D6</f>
        <v>Schools</v>
      </c>
      <c r="G482" s="145" t="n">
        <f aca="false">INDEX('W Programs'!$F$6:$H$6,1,D482)*INDEX('W Assumptions'!$D$7:$F$7,1,D482)*'W Assumptions'!F105/SUM('W Assumptions'!F$95:F$106)</f>
        <v>0.9375</v>
      </c>
      <c r="H482" s="81" t="n">
        <f aca="false">G482*INDEX('W Programs'!$I$6:$K$6,1,D482)*INDEX('W Assumptions'!$D$12:$F$12,1,D482)</f>
        <v>178125</v>
      </c>
      <c r="I482" s="81" t="n">
        <f aca="false">H482*CHOOSE(D482,'W Programs'!L6,'W Programs'!Q6,'W Programs'!R6)*INDEX('W Assumptions'!$D$17:$F$17,1,D482)</f>
        <v>67687.5</v>
      </c>
      <c r="J482" s="81" t="n">
        <f aca="false">H482*'W Programs'!$M$6*'W Programs'!$O$6</f>
        <v>0</v>
      </c>
      <c r="K482" s="149" t="n">
        <f aca="false">'W Programs'!$N$6</f>
        <v>0.3</v>
      </c>
      <c r="L482" s="81" t="n">
        <f aca="false">H482*K482+H454*(1-K482)</f>
        <v>178125</v>
      </c>
      <c r="M482" s="81" t="n">
        <f aca="false">L482*'W Programs'!$M$6*'W Programs'!$O$6</f>
        <v>0</v>
      </c>
      <c r="N482" s="81" t="n">
        <f aca="false">I482*'W Assumptions'!$D$55+I468*(1-'W Assumptions'!$D$55)</f>
        <v>67687.5</v>
      </c>
      <c r="O482" s="81" t="n">
        <f aca="false">H482-I482-J482</f>
        <v>110437.5</v>
      </c>
    </row>
    <row r="483" customFormat="false" ht="21" hidden="false" customHeight="true" outlineLevel="0" collapsed="false">
      <c r="C483" s="144" t="n">
        <f aca="false">47300</f>
        <v>47300</v>
      </c>
      <c r="D483" s="81" t="n">
        <f aca="false">3</f>
        <v>3</v>
      </c>
      <c r="E483" s="81" t="str">
        <f aca="false">'W Programs'!C7</f>
        <v>TLI</v>
      </c>
      <c r="F483" s="81" t="str">
        <f aca="false">'W Programs'!D7</f>
        <v>Activations</v>
      </c>
      <c r="G483" s="145" t="n">
        <f aca="false">INDEX('W Programs'!$F$7:$H$7,1,D483)*INDEX('W Assumptions'!$D$7:$F$7,1,D483)*'W Assumptions'!F105/SUM('W Assumptions'!F$95:F$106)</f>
        <v>1.125</v>
      </c>
      <c r="H483" s="81" t="n">
        <f aca="false">G483*INDEX('W Programs'!$I$7:$K$7,1,D483)*INDEX('W Assumptions'!$D$12:$F$12,1,D483)</f>
        <v>95625</v>
      </c>
      <c r="I483" s="81" t="n">
        <f aca="false">H483*CHOOSE(D483,'W Programs'!L7,'W Programs'!Q7,'W Programs'!R7)*INDEX('W Assumptions'!$D$17:$F$17,1,D483)</f>
        <v>47812.5</v>
      </c>
      <c r="J483" s="81" t="n">
        <f aca="false">H483*'W Programs'!$M$7*'W Programs'!$O$7</f>
        <v>0</v>
      </c>
      <c r="K483" s="149" t="n">
        <f aca="false">'W Programs'!$N$7</f>
        <v>0.3</v>
      </c>
      <c r="L483" s="81" t="n">
        <f aca="false">H483*K483+H455*(1-K483)</f>
        <v>95625</v>
      </c>
      <c r="M483" s="81" t="n">
        <f aca="false">L483*'W Programs'!$M$7*'W Programs'!$O$7</f>
        <v>0</v>
      </c>
      <c r="N483" s="81" t="n">
        <f aca="false">I483*'W Assumptions'!$D$55+I469*(1-'W Assumptions'!$D$55)</f>
        <v>47812.5</v>
      </c>
      <c r="O483" s="81" t="n">
        <f aca="false">H483-I483-J483</f>
        <v>47812.5</v>
      </c>
    </row>
    <row r="484" customFormat="false" ht="21" hidden="false" customHeight="true" outlineLevel="0" collapsed="false">
      <c r="C484" s="144" t="n">
        <f aca="false">47300</f>
        <v>47300</v>
      </c>
      <c r="D484" s="81" t="n">
        <f aca="false">3</f>
        <v>3</v>
      </c>
      <c r="E484" s="81" t="str">
        <f aca="false">'W Programs'!C8</f>
        <v>TLI</v>
      </c>
      <c r="F484" s="81" t="str">
        <f aca="false">'W Programs'!D8</f>
        <v>Workshops</v>
      </c>
      <c r="G484" s="145" t="n">
        <f aca="false">INDEX('W Programs'!$F$8:$H$8,1,D484)*INDEX('W Assumptions'!$D$7:$F$7,1,D484)*'W Assumptions'!F105/SUM('W Assumptions'!F$95:F$106)</f>
        <v>9.75</v>
      </c>
      <c r="H484" s="81" t="n">
        <f aca="false">G484*INDEX('W Programs'!$I$8:$K$8,1,D484)*INDEX('W Assumptions'!$D$12:$F$12,1,D484)</f>
        <v>53625</v>
      </c>
      <c r="I484" s="81" t="n">
        <f aca="false">H484*CHOOSE(D484,'W Programs'!L8,'W Programs'!Q8,'W Programs'!R8)*INDEX('W Assumptions'!$D$17:$F$17,1,D484)</f>
        <v>21450</v>
      </c>
      <c r="J484" s="81" t="n">
        <f aca="false">H484*'W Programs'!$M$8*'W Programs'!$O$8</f>
        <v>0</v>
      </c>
      <c r="K484" s="149" t="n">
        <f aca="false">'W Programs'!$N$8</f>
        <v>0.7</v>
      </c>
      <c r="L484" s="81" t="n">
        <f aca="false">H484*K484+H456*(1-K484)</f>
        <v>53625</v>
      </c>
      <c r="M484" s="81" t="n">
        <f aca="false">L484*'W Programs'!$M$8*'W Programs'!$O$8</f>
        <v>0</v>
      </c>
      <c r="N484" s="81" t="n">
        <f aca="false">I484*'W Assumptions'!$D$55+I470*(1-'W Assumptions'!$D$55)</f>
        <v>21450</v>
      </c>
      <c r="O484" s="81" t="n">
        <f aca="false">H484-I484-J484</f>
        <v>32175</v>
      </c>
    </row>
    <row r="485" customFormat="false" ht="21" hidden="false" customHeight="true" outlineLevel="0" collapsed="false">
      <c r="C485" s="144" t="n">
        <f aca="false">47300</f>
        <v>47300</v>
      </c>
      <c r="D485" s="81" t="n">
        <f aca="false">3</f>
        <v>3</v>
      </c>
      <c r="E485" s="81" t="str">
        <f aca="false">'W Programs'!C9</f>
        <v>TLI</v>
      </c>
      <c r="F485" s="81" t="str">
        <f aca="false">'W Programs'!D9</f>
        <v>Installations</v>
      </c>
      <c r="G485" s="145" t="n">
        <f aca="false">INDEX('W Programs'!$F$9:$H$9,1,D485)*INDEX('W Assumptions'!$D$7:$F$7,1,D485)*'W Assumptions'!F105/SUM('W Assumptions'!F$95:F$106)</f>
        <v>0.1875</v>
      </c>
      <c r="H485" s="81" t="n">
        <f aca="false">G485*INDEX('W Programs'!$I$9:$K$9,1,D485)*INDEX('W Assumptions'!$D$12:$F$12,1,D485)</f>
        <v>61875</v>
      </c>
      <c r="I485" s="81" t="n">
        <f aca="false">H485*CHOOSE(D485,'W Programs'!L9,'W Programs'!Q9,'W Programs'!R9)*INDEX('W Assumptions'!$D$17:$F$17,1,D485)</f>
        <v>35887.5</v>
      </c>
      <c r="J485" s="81" t="n">
        <f aca="false">H485*'W Programs'!$M$9*'W Programs'!$O$9</f>
        <v>0</v>
      </c>
      <c r="K485" s="149" t="n">
        <f aca="false">'W Programs'!$N$9</f>
        <v>0.3</v>
      </c>
      <c r="L485" s="81" t="n">
        <f aca="false">H485*K485+H457*(1-K485)</f>
        <v>61875</v>
      </c>
      <c r="M485" s="81" t="n">
        <f aca="false">L485*'W Programs'!$M$9*'W Programs'!$O$9</f>
        <v>0</v>
      </c>
      <c r="N485" s="81" t="n">
        <f aca="false">I485*'W Assumptions'!$D$55+I471*(1-'W Assumptions'!$D$55)</f>
        <v>35887.5</v>
      </c>
      <c r="O485" s="81" t="n">
        <f aca="false">H485-I485-J485</f>
        <v>25987.5</v>
      </c>
    </row>
    <row r="486" customFormat="false" ht="21" hidden="false" customHeight="true" outlineLevel="0" collapsed="false">
      <c r="C486" s="144" t="n">
        <f aca="false">47300</f>
        <v>47300</v>
      </c>
      <c r="D486" s="81" t="n">
        <f aca="false">3</f>
        <v>3</v>
      </c>
      <c r="E486" s="81" t="str">
        <f aca="false">'W Programs'!C10</f>
        <v>TLI</v>
      </c>
      <c r="F486" s="81" t="str">
        <f aca="false">'W Programs'!D10</f>
        <v>Digital</v>
      </c>
      <c r="G486" s="145" t="n">
        <f aca="false">INDEX('W Programs'!$F$10:$H$10,1,D486)*INDEX('W Assumptions'!$D$7:$F$7,1,D486)*'W Assumptions'!F105/SUM('W Assumptions'!F$95:F$106)</f>
        <v>150</v>
      </c>
      <c r="H486" s="81" t="n">
        <f aca="false">G486*INDEX('W Programs'!$I$10:$K$10,1,D486)*INDEX('W Assumptions'!$D$12:$F$12,1,D486)</f>
        <v>56250</v>
      </c>
      <c r="I486" s="81" t="n">
        <f aca="false">H486*CHOOSE(D486,'W Programs'!L10,'W Programs'!Q10,'W Programs'!R10)*INDEX('W Assumptions'!$D$17:$F$17,1,D486)</f>
        <v>9000</v>
      </c>
      <c r="J486" s="81" t="n">
        <f aca="false">H486*'W Programs'!$M$10*'W Programs'!$O$10</f>
        <v>0</v>
      </c>
      <c r="K486" s="149" t="n">
        <f aca="false">'W Programs'!$N$10</f>
        <v>1</v>
      </c>
      <c r="L486" s="81" t="n">
        <f aca="false">H486*K486+H458*(1-K486)</f>
        <v>56250</v>
      </c>
      <c r="M486" s="81" t="n">
        <f aca="false">L486*'W Programs'!$M$10*'W Programs'!$O$10</f>
        <v>0</v>
      </c>
      <c r="N486" s="81" t="n">
        <f aca="false">I486*'W Assumptions'!$D$55+I472*(1-'W Assumptions'!$D$55)</f>
        <v>9000</v>
      </c>
      <c r="O486" s="81" t="n">
        <f aca="false">H486-I486-J486</f>
        <v>47250</v>
      </c>
    </row>
    <row r="487" customFormat="false" ht="21" hidden="false" customHeight="true" outlineLevel="0" collapsed="false">
      <c r="C487" s="144" t="n">
        <f aca="false">47300</f>
        <v>47300</v>
      </c>
      <c r="D487" s="81" t="n">
        <f aca="false">3</f>
        <v>3</v>
      </c>
      <c r="E487" s="81" t="str">
        <f aca="false">'W Programs'!C11</f>
        <v>TLI</v>
      </c>
      <c r="F487" s="81" t="str">
        <f aca="false">'W Programs'!D11</f>
        <v>Retail</v>
      </c>
      <c r="G487" s="145" t="n">
        <f aca="false">INDEX('W Programs'!$F$11:$H$11,1,D487)*INDEX('W Assumptions'!$D$7:$F$7,1,D487)*'W Assumptions'!F105/SUM('W Assumptions'!F$95:F$106)</f>
        <v>337.5</v>
      </c>
      <c r="H487" s="81" t="n">
        <f aca="false">G487*INDEX('W Programs'!$I$11:$K$11,1,D487)*INDEX('W Assumptions'!$D$12:$F$12,1,D487)</f>
        <v>87750</v>
      </c>
      <c r="I487" s="81" t="n">
        <f aca="false">H487*CHOOSE(D487,'W Programs'!L11,'W Programs'!Q11,'W Programs'!R11)*INDEX('W Assumptions'!$D$17:$F$17,1,D487)</f>
        <v>42120</v>
      </c>
      <c r="J487" s="81" t="n">
        <f aca="false">H487*'W Programs'!$M$11*'W Programs'!$O$11</f>
        <v>0</v>
      </c>
      <c r="K487" s="149" t="n">
        <f aca="false">'W Programs'!$N$11</f>
        <v>1</v>
      </c>
      <c r="L487" s="81" t="n">
        <f aca="false">H487*K487+H459*(1-K487)</f>
        <v>87750</v>
      </c>
      <c r="M487" s="81" t="n">
        <f aca="false">L487*'W Programs'!$M$11*'W Programs'!$O$11</f>
        <v>0</v>
      </c>
      <c r="N487" s="81" t="n">
        <f aca="false">I487*'W Assumptions'!$D$55+I473*(1-'W Assumptions'!$D$55)</f>
        <v>42120</v>
      </c>
      <c r="O487" s="81" t="n">
        <f aca="false">H487-I487-J487</f>
        <v>45630</v>
      </c>
    </row>
    <row r="488" customFormat="false" ht="21" hidden="false" customHeight="true" outlineLevel="0" collapsed="false">
      <c r="C488" s="144" t="n">
        <f aca="false">47300</f>
        <v>47300</v>
      </c>
      <c r="D488" s="81" t="n">
        <f aca="false">3</f>
        <v>3</v>
      </c>
      <c r="E488" s="81" t="str">
        <f aca="false">'W Programs'!C12</f>
        <v>TLI</v>
      </c>
      <c r="F488" s="81" t="str">
        <f aca="false">'W Programs'!D12</f>
        <v>Licensing</v>
      </c>
      <c r="G488" s="145" t="n">
        <f aca="false">INDEX('W Programs'!$F$12:$H$12,1,D488)*INDEX('W Assumptions'!$D$7:$F$7,1,D488)*'W Assumptions'!F105/SUM('W Assumptions'!F$95:F$106)</f>
        <v>0.0375</v>
      </c>
      <c r="H488" s="81" t="n">
        <f aca="false">G488*INDEX('W Programs'!$I$12:$K$12,1,D488)*INDEX('W Assumptions'!$D$12:$F$12,1,D488)</f>
        <v>30000</v>
      </c>
      <c r="I488" s="81" t="n">
        <f aca="false">H488*CHOOSE(D488,'W Programs'!L12,'W Programs'!Q12,'W Programs'!R12)*INDEX('W Assumptions'!$D$17:$F$17,1,D488)</f>
        <v>3000</v>
      </c>
      <c r="J488" s="81" t="n">
        <f aca="false">H488*'W Programs'!$M$12*'W Programs'!$O$12</f>
        <v>0</v>
      </c>
      <c r="K488" s="149" t="n">
        <f aca="false">'W Programs'!$N$12</f>
        <v>0.3</v>
      </c>
      <c r="L488" s="81" t="n">
        <f aca="false">H488*K488+H460*(1-K488)</f>
        <v>30000</v>
      </c>
      <c r="M488" s="81" t="n">
        <f aca="false">L488*'W Programs'!$M$12*'W Programs'!$O$12</f>
        <v>0</v>
      </c>
      <c r="N488" s="81" t="n">
        <f aca="false">I488*'W Assumptions'!$D$55+I474*(1-'W Assumptions'!$D$55)</f>
        <v>3000</v>
      </c>
      <c r="O488" s="81" t="n">
        <f aca="false">H488-I488-J488</f>
        <v>27000</v>
      </c>
    </row>
    <row r="489" customFormat="false" ht="21" hidden="false" customHeight="true" outlineLevel="0" collapsed="false">
      <c r="C489" s="144" t="n">
        <f aca="false">47300</f>
        <v>47300</v>
      </c>
      <c r="D489" s="81" t="n">
        <f aca="false">3</f>
        <v>3</v>
      </c>
      <c r="E489" s="81" t="str">
        <f aca="false">'W Programs'!C13</f>
        <v>WOO IP</v>
      </c>
      <c r="F489" s="81" t="str">
        <f aca="false">'W Programs'!D13</f>
        <v>Schools</v>
      </c>
      <c r="G489" s="145" t="n">
        <f aca="false">INDEX('W Programs'!$F$13:$H$13,1,D489)*INDEX('W Assumptions'!$D$7:$F$7,1,D489)*'W Assumptions'!F105/SUM('W Assumptions'!F$95:F$106)</f>
        <v>1.14583333333333</v>
      </c>
      <c r="H489" s="81" t="n">
        <f aca="false">G489*INDEX('W Programs'!$I$13:$K$13,1,D489)*INDEX('W Assumptions'!$D$12:$F$12,1,D489)</f>
        <v>217708.333333333</v>
      </c>
      <c r="I489" s="81" t="n">
        <f aca="false">H489*CHOOSE(D489,'W Programs'!L13,'W Programs'!Q13,'W Programs'!R13)*INDEX('W Assumptions'!$D$17:$F$17,1,D489)</f>
        <v>82729.1666666667</v>
      </c>
      <c r="J489" s="81" t="n">
        <f aca="false">H489*'W Programs'!$M$13*'W Programs'!$O$13</f>
        <v>0</v>
      </c>
      <c r="K489" s="149" t="n">
        <f aca="false">'W Programs'!$N$13</f>
        <v>0.3</v>
      </c>
      <c r="L489" s="81" t="n">
        <f aca="false">H489*K489+H461*(1-K489)</f>
        <v>217708.333333333</v>
      </c>
      <c r="M489" s="81" t="n">
        <f aca="false">L489*'W Programs'!$M$13*'W Programs'!$O$13</f>
        <v>0</v>
      </c>
      <c r="N489" s="81" t="n">
        <f aca="false">I489*'W Assumptions'!$D$55+I475*(1-'W Assumptions'!$D$55)</f>
        <v>82729.1666666667</v>
      </c>
      <c r="O489" s="81" t="n">
        <f aca="false">H489-I489-J489</f>
        <v>134979.166666667</v>
      </c>
    </row>
    <row r="490" customFormat="false" ht="21" hidden="false" customHeight="true" outlineLevel="0" collapsed="false">
      <c r="C490" s="144" t="n">
        <f aca="false">47300</f>
        <v>47300</v>
      </c>
      <c r="D490" s="81" t="n">
        <f aca="false">3</f>
        <v>3</v>
      </c>
      <c r="E490" s="81" t="str">
        <f aca="false">'W Programs'!C14</f>
        <v>WOO IP</v>
      </c>
      <c r="F490" s="81" t="str">
        <f aca="false">'W Programs'!D14</f>
        <v>Activations</v>
      </c>
      <c r="G490" s="145" t="n">
        <f aca="false">INDEX('W Programs'!$F$14:$H$14,1,D490)*INDEX('W Assumptions'!$D$7:$F$7,1,D490)*'W Assumptions'!F105/SUM('W Assumptions'!F$95:F$106)</f>
        <v>1.375</v>
      </c>
      <c r="H490" s="81" t="n">
        <f aca="false">G490*INDEX('W Programs'!$I$14:$K$14,1,D490)*INDEX('W Assumptions'!$D$12:$F$12,1,D490)</f>
        <v>116875</v>
      </c>
      <c r="I490" s="81" t="n">
        <f aca="false">H490*CHOOSE(D490,'W Programs'!L14,'W Programs'!Q14,'W Programs'!R14)*INDEX('W Assumptions'!$D$17:$F$17,1,D490)</f>
        <v>58437.5</v>
      </c>
      <c r="J490" s="81" t="n">
        <f aca="false">H490*'W Programs'!$M$14*'W Programs'!$O$14</f>
        <v>0</v>
      </c>
      <c r="K490" s="149" t="n">
        <f aca="false">'W Programs'!$N$14</f>
        <v>0.3</v>
      </c>
      <c r="L490" s="81" t="n">
        <f aca="false">H490*K490+H462*(1-K490)</f>
        <v>116875</v>
      </c>
      <c r="M490" s="81" t="n">
        <f aca="false">L490*'W Programs'!$M$14*'W Programs'!$O$14</f>
        <v>0</v>
      </c>
      <c r="N490" s="81" t="n">
        <f aca="false">I490*'W Assumptions'!$D$55+I476*(1-'W Assumptions'!$D$55)</f>
        <v>58437.5</v>
      </c>
      <c r="O490" s="81" t="n">
        <f aca="false">H490-I490-J490</f>
        <v>58437.5</v>
      </c>
    </row>
    <row r="491" customFormat="false" ht="21" hidden="false" customHeight="true" outlineLevel="0" collapsed="false">
      <c r="C491" s="144" t="n">
        <f aca="false">47300</f>
        <v>47300</v>
      </c>
      <c r="D491" s="81" t="n">
        <f aca="false">3</f>
        <v>3</v>
      </c>
      <c r="E491" s="81" t="str">
        <f aca="false">'W Programs'!C15</f>
        <v>WOO IP</v>
      </c>
      <c r="F491" s="81" t="str">
        <f aca="false">'W Programs'!D15</f>
        <v>Workshops</v>
      </c>
      <c r="G491" s="145" t="n">
        <f aca="false">INDEX('W Programs'!$F$15:$H$15,1,D491)*INDEX('W Assumptions'!$D$7:$F$7,1,D491)*'W Assumptions'!F105/SUM('W Assumptions'!F$95:F$106)</f>
        <v>11.9166666666667</v>
      </c>
      <c r="H491" s="81" t="n">
        <f aca="false">G491*INDEX('W Programs'!$I$15:$K$15,1,D491)*INDEX('W Assumptions'!$D$12:$F$12,1,D491)</f>
        <v>65541.6666666667</v>
      </c>
      <c r="I491" s="81" t="n">
        <f aca="false">H491*CHOOSE(D491,'W Programs'!L15,'W Programs'!Q15,'W Programs'!R15)*INDEX('W Assumptions'!$D$17:$F$17,1,D491)</f>
        <v>26216.6666666667</v>
      </c>
      <c r="J491" s="81" t="n">
        <f aca="false">H491*'W Programs'!$M$15*'W Programs'!$O$15</f>
        <v>0</v>
      </c>
      <c r="K491" s="149" t="n">
        <f aca="false">'W Programs'!$N$15</f>
        <v>0.7</v>
      </c>
      <c r="L491" s="81" t="n">
        <f aca="false">H491*K491+H463*(1-K491)</f>
        <v>65541.6666666667</v>
      </c>
      <c r="M491" s="81" t="n">
        <f aca="false">L491*'W Programs'!$M$15*'W Programs'!$O$15</f>
        <v>0</v>
      </c>
      <c r="N491" s="81" t="n">
        <f aca="false">I491*'W Assumptions'!$D$55+I477*(1-'W Assumptions'!$D$55)</f>
        <v>26216.6666666667</v>
      </c>
      <c r="O491" s="81" t="n">
        <f aca="false">H491-I491-J491</f>
        <v>39325</v>
      </c>
    </row>
    <row r="492" customFormat="false" ht="21" hidden="false" customHeight="true" outlineLevel="0" collapsed="false">
      <c r="C492" s="144" t="n">
        <f aca="false">47300</f>
        <v>47300</v>
      </c>
      <c r="D492" s="81" t="n">
        <f aca="false">3</f>
        <v>3</v>
      </c>
      <c r="E492" s="81" t="str">
        <f aca="false">'W Programs'!C16</f>
        <v>WOO IP</v>
      </c>
      <c r="F492" s="81" t="str">
        <f aca="false">'W Programs'!D16</f>
        <v>Installations</v>
      </c>
      <c r="G492" s="145" t="n">
        <f aca="false">INDEX('W Programs'!$F$16:$H$16,1,D492)*INDEX('W Assumptions'!$D$7:$F$7,1,D492)*'W Assumptions'!F105/SUM('W Assumptions'!F$95:F$106)</f>
        <v>0.229166666666667</v>
      </c>
      <c r="H492" s="81" t="n">
        <f aca="false">G492*INDEX('W Programs'!$I$16:$K$16,1,D492)*INDEX('W Assumptions'!$D$12:$F$12,1,D492)</f>
        <v>75625</v>
      </c>
      <c r="I492" s="81" t="n">
        <f aca="false">H492*CHOOSE(D492,'W Programs'!L16,'W Programs'!Q16,'W Programs'!R16)*INDEX('W Assumptions'!$D$17:$F$17,1,D492)</f>
        <v>43862.5</v>
      </c>
      <c r="J492" s="81" t="n">
        <f aca="false">H492*'W Programs'!$M$16*'W Programs'!$O$16</f>
        <v>0</v>
      </c>
      <c r="K492" s="149" t="n">
        <f aca="false">'W Programs'!$N$16</f>
        <v>0.3</v>
      </c>
      <c r="L492" s="81" t="n">
        <f aca="false">H492*K492+H464*(1-K492)</f>
        <v>75625</v>
      </c>
      <c r="M492" s="81" t="n">
        <f aca="false">L492*'W Programs'!$M$16*'W Programs'!$O$16</f>
        <v>0</v>
      </c>
      <c r="N492" s="81" t="n">
        <f aca="false">I492*'W Assumptions'!$D$55+I478*(1-'W Assumptions'!$D$55)</f>
        <v>43862.5</v>
      </c>
      <c r="O492" s="81" t="n">
        <f aca="false">H492-I492-J492</f>
        <v>31762.5</v>
      </c>
    </row>
    <row r="493" customFormat="false" ht="21" hidden="false" customHeight="true" outlineLevel="0" collapsed="false">
      <c r="C493" s="144" t="n">
        <f aca="false">47300</f>
        <v>47300</v>
      </c>
      <c r="D493" s="81" t="n">
        <f aca="false">3</f>
        <v>3</v>
      </c>
      <c r="E493" s="81" t="str">
        <f aca="false">'W Programs'!C17</f>
        <v>WOO IP</v>
      </c>
      <c r="F493" s="81" t="str">
        <f aca="false">'W Programs'!D17</f>
        <v>Digital</v>
      </c>
      <c r="G493" s="145" t="n">
        <f aca="false">INDEX('W Programs'!$F$17:$H$17,1,D493)*INDEX('W Assumptions'!$D$7:$F$7,1,D493)*'W Assumptions'!F105/SUM('W Assumptions'!F$95:F$106)</f>
        <v>183.333333333333</v>
      </c>
      <c r="H493" s="81" t="n">
        <f aca="false">G493*INDEX('W Programs'!$I$17:$K$17,1,D493)*INDEX('W Assumptions'!$D$12:$F$12,1,D493)</f>
        <v>68750</v>
      </c>
      <c r="I493" s="81" t="n">
        <f aca="false">H493*CHOOSE(D493,'W Programs'!L17,'W Programs'!Q17,'W Programs'!R17)*INDEX('W Assumptions'!$D$17:$F$17,1,D493)</f>
        <v>11000</v>
      </c>
      <c r="J493" s="81" t="n">
        <f aca="false">H493*'W Programs'!$M$17*'W Programs'!$O$17</f>
        <v>0</v>
      </c>
      <c r="K493" s="149" t="n">
        <f aca="false">'W Programs'!$N$17</f>
        <v>1</v>
      </c>
      <c r="L493" s="81" t="n">
        <f aca="false">H493*K493+H465*(1-K493)</f>
        <v>68750</v>
      </c>
      <c r="M493" s="81" t="n">
        <f aca="false">L493*'W Programs'!$M$17*'W Programs'!$O$17</f>
        <v>0</v>
      </c>
      <c r="N493" s="81" t="n">
        <f aca="false">I493*'W Assumptions'!$D$55+I479*(1-'W Assumptions'!$D$55)</f>
        <v>11000</v>
      </c>
      <c r="O493" s="81" t="n">
        <f aca="false">H493-I493-J493</f>
        <v>57750</v>
      </c>
    </row>
    <row r="494" customFormat="false" ht="21" hidden="false" customHeight="true" outlineLevel="0" collapsed="false">
      <c r="C494" s="144" t="n">
        <f aca="false">47300</f>
        <v>47300</v>
      </c>
      <c r="D494" s="81" t="n">
        <f aca="false">3</f>
        <v>3</v>
      </c>
      <c r="E494" s="81" t="str">
        <f aca="false">'W Programs'!C18</f>
        <v>WOO IP</v>
      </c>
      <c r="F494" s="81" t="str">
        <f aca="false">'W Programs'!D18</f>
        <v>Retail</v>
      </c>
      <c r="G494" s="145" t="n">
        <f aca="false">INDEX('W Programs'!$F$18:$H$18,1,D494)*INDEX('W Assumptions'!$D$7:$F$7,1,D494)*'W Assumptions'!F105/SUM('W Assumptions'!F$95:F$106)</f>
        <v>412.5</v>
      </c>
      <c r="H494" s="81" t="n">
        <f aca="false">G494*INDEX('W Programs'!$I$18:$K$18,1,D494)*INDEX('W Assumptions'!$D$12:$F$12,1,D494)</f>
        <v>107250</v>
      </c>
      <c r="I494" s="81" t="n">
        <f aca="false">H494*CHOOSE(D494,'W Programs'!L18,'W Programs'!Q18,'W Programs'!R18)*INDEX('W Assumptions'!$D$17:$F$17,1,D494)</f>
        <v>51480</v>
      </c>
      <c r="J494" s="81" t="n">
        <f aca="false">H494*'W Programs'!$M$18*'W Programs'!$O$18</f>
        <v>0</v>
      </c>
      <c r="K494" s="149" t="n">
        <f aca="false">'W Programs'!$N$18</f>
        <v>1</v>
      </c>
      <c r="L494" s="81" t="n">
        <f aca="false">H494*K494+H466*(1-K494)</f>
        <v>107250</v>
      </c>
      <c r="M494" s="81" t="n">
        <f aca="false">L494*'W Programs'!$M$18*'W Programs'!$O$18</f>
        <v>0</v>
      </c>
      <c r="N494" s="81" t="n">
        <f aca="false">I494*'W Assumptions'!$D$55+I480*(1-'W Assumptions'!$D$55)</f>
        <v>51480</v>
      </c>
      <c r="O494" s="81" t="n">
        <f aca="false">H494-I494-J494</f>
        <v>55770</v>
      </c>
    </row>
    <row r="495" customFormat="false" ht="21" hidden="false" customHeight="true" outlineLevel="0" collapsed="false">
      <c r="C495" s="144" t="n">
        <f aca="false">47300</f>
        <v>47300</v>
      </c>
      <c r="D495" s="81" t="n">
        <f aca="false">3</f>
        <v>3</v>
      </c>
      <c r="E495" s="81" t="str">
        <f aca="false">'W Programs'!C19</f>
        <v>WOO IP</v>
      </c>
      <c r="F495" s="81" t="str">
        <f aca="false">'W Programs'!D19</f>
        <v>Licensing</v>
      </c>
      <c r="G495" s="145" t="n">
        <f aca="false">INDEX('W Programs'!$F$19:$H$19,1,D495)*INDEX('W Assumptions'!$D$7:$F$7,1,D495)*'W Assumptions'!F105/SUM('W Assumptions'!F$95:F$106)</f>
        <v>0.0458333333333333</v>
      </c>
      <c r="H495" s="81" t="n">
        <f aca="false">G495*INDEX('W Programs'!$I$19:$K$19,1,D495)*INDEX('W Assumptions'!$D$12:$F$12,1,D495)</f>
        <v>36666.6666666667</v>
      </c>
      <c r="I495" s="81" t="n">
        <f aca="false">H495*CHOOSE(D495,'W Programs'!L19,'W Programs'!Q19,'W Programs'!R19)*INDEX('W Assumptions'!$D$17:$F$17,1,D495)</f>
        <v>3666.66666666667</v>
      </c>
      <c r="J495" s="81" t="n">
        <f aca="false">H495*'W Programs'!$M$19*'W Programs'!$O$19</f>
        <v>0</v>
      </c>
      <c r="K495" s="149" t="n">
        <f aca="false">'W Programs'!$N$19</f>
        <v>0.3</v>
      </c>
      <c r="L495" s="81" t="n">
        <f aca="false">H495*K495+H467*(1-K495)</f>
        <v>36666.6666666667</v>
      </c>
      <c r="M495" s="81" t="n">
        <f aca="false">L495*'W Programs'!$M$19*'W Programs'!$O$19</f>
        <v>0</v>
      </c>
      <c r="N495" s="81" t="n">
        <f aca="false">I495*'W Assumptions'!$D$55+I481*(1-'W Assumptions'!$D$55)</f>
        <v>3666.66666666667</v>
      </c>
      <c r="O495" s="81" t="n">
        <f aca="false">H495-I495-J495</f>
        <v>33000</v>
      </c>
    </row>
    <row r="496" customFormat="false" ht="21" hidden="false" customHeight="true" outlineLevel="0" collapsed="false">
      <c r="C496" s="144" t="n">
        <f aca="false">47331</f>
        <v>47331</v>
      </c>
      <c r="D496" s="81" t="n">
        <f aca="false">3</f>
        <v>3</v>
      </c>
      <c r="E496" s="81" t="str">
        <f aca="false">'W Programs'!C6</f>
        <v>TLI</v>
      </c>
      <c r="F496" s="81" t="str">
        <f aca="false">'W Programs'!D6</f>
        <v>Schools</v>
      </c>
      <c r="G496" s="145" t="n">
        <f aca="false">INDEX('W Programs'!$F$6:$H$6,1,D496)*INDEX('W Assumptions'!$D$7:$F$7,1,D496)*'W Assumptions'!F106/SUM('W Assumptions'!F$95:F$106)</f>
        <v>0.9375</v>
      </c>
      <c r="H496" s="81" t="n">
        <f aca="false">G496*INDEX('W Programs'!$I$6:$K$6,1,D496)*INDEX('W Assumptions'!$D$12:$F$12,1,D496)</f>
        <v>178125</v>
      </c>
      <c r="I496" s="81" t="n">
        <f aca="false">H496*CHOOSE(D496,'W Programs'!L6,'W Programs'!Q6,'W Programs'!R6)*INDEX('W Assumptions'!$D$17:$F$17,1,D496)</f>
        <v>67687.5</v>
      </c>
      <c r="J496" s="81" t="n">
        <f aca="false">H496*'W Programs'!$M$6*'W Programs'!$O$6</f>
        <v>0</v>
      </c>
      <c r="K496" s="149" t="n">
        <f aca="false">'W Programs'!$N$6</f>
        <v>0.3</v>
      </c>
      <c r="L496" s="81" t="n">
        <f aca="false">H496*K496+H468*(1-K496)</f>
        <v>178125</v>
      </c>
      <c r="M496" s="81" t="n">
        <f aca="false">L496*'W Programs'!$M$6*'W Programs'!$O$6</f>
        <v>0</v>
      </c>
      <c r="N496" s="81" t="n">
        <f aca="false">I496*'W Assumptions'!$D$55+I482*(1-'W Assumptions'!$D$55)</f>
        <v>67687.5</v>
      </c>
      <c r="O496" s="81" t="n">
        <f aca="false">H496-I496-J496</f>
        <v>110437.5</v>
      </c>
    </row>
    <row r="497" customFormat="false" ht="21" hidden="false" customHeight="true" outlineLevel="0" collapsed="false">
      <c r="C497" s="144" t="n">
        <f aca="false">47331</f>
        <v>47331</v>
      </c>
      <c r="D497" s="81" t="n">
        <f aca="false">3</f>
        <v>3</v>
      </c>
      <c r="E497" s="81" t="str">
        <f aca="false">'W Programs'!C7</f>
        <v>TLI</v>
      </c>
      <c r="F497" s="81" t="str">
        <f aca="false">'W Programs'!D7</f>
        <v>Activations</v>
      </c>
      <c r="G497" s="145" t="n">
        <f aca="false">INDEX('W Programs'!$F$7:$H$7,1,D497)*INDEX('W Assumptions'!$D$7:$F$7,1,D497)*'W Assumptions'!F106/SUM('W Assumptions'!F$95:F$106)</f>
        <v>1.125</v>
      </c>
      <c r="H497" s="81" t="n">
        <f aca="false">G497*INDEX('W Programs'!$I$7:$K$7,1,D497)*INDEX('W Assumptions'!$D$12:$F$12,1,D497)</f>
        <v>95625</v>
      </c>
      <c r="I497" s="81" t="n">
        <f aca="false">H497*CHOOSE(D497,'W Programs'!L7,'W Programs'!Q7,'W Programs'!R7)*INDEX('W Assumptions'!$D$17:$F$17,1,D497)</f>
        <v>47812.5</v>
      </c>
      <c r="J497" s="81" t="n">
        <f aca="false">H497*'W Programs'!$M$7*'W Programs'!$O$7</f>
        <v>0</v>
      </c>
      <c r="K497" s="149" t="n">
        <f aca="false">'W Programs'!$N$7</f>
        <v>0.3</v>
      </c>
      <c r="L497" s="81" t="n">
        <f aca="false">H497*K497+H469*(1-K497)</f>
        <v>95625</v>
      </c>
      <c r="M497" s="81" t="n">
        <f aca="false">L497*'W Programs'!$M$7*'W Programs'!$O$7</f>
        <v>0</v>
      </c>
      <c r="N497" s="81" t="n">
        <f aca="false">I497*'W Assumptions'!$D$55+I483*(1-'W Assumptions'!$D$55)</f>
        <v>47812.5</v>
      </c>
      <c r="O497" s="81" t="n">
        <f aca="false">H497-I497-J497</f>
        <v>47812.5</v>
      </c>
    </row>
    <row r="498" customFormat="false" ht="21" hidden="false" customHeight="true" outlineLevel="0" collapsed="false">
      <c r="C498" s="144" t="n">
        <f aca="false">47331</f>
        <v>47331</v>
      </c>
      <c r="D498" s="81" t="n">
        <f aca="false">3</f>
        <v>3</v>
      </c>
      <c r="E498" s="81" t="str">
        <f aca="false">'W Programs'!C8</f>
        <v>TLI</v>
      </c>
      <c r="F498" s="81" t="str">
        <f aca="false">'W Programs'!D8</f>
        <v>Workshops</v>
      </c>
      <c r="G498" s="145" t="n">
        <f aca="false">INDEX('W Programs'!$F$8:$H$8,1,D498)*INDEX('W Assumptions'!$D$7:$F$7,1,D498)*'W Assumptions'!F106/SUM('W Assumptions'!F$95:F$106)</f>
        <v>9.75</v>
      </c>
      <c r="H498" s="81" t="n">
        <f aca="false">G498*INDEX('W Programs'!$I$8:$K$8,1,D498)*INDEX('W Assumptions'!$D$12:$F$12,1,D498)</f>
        <v>53625</v>
      </c>
      <c r="I498" s="81" t="n">
        <f aca="false">H498*CHOOSE(D498,'W Programs'!L8,'W Programs'!Q8,'W Programs'!R8)*INDEX('W Assumptions'!$D$17:$F$17,1,D498)</f>
        <v>21450</v>
      </c>
      <c r="J498" s="81" t="n">
        <f aca="false">H498*'W Programs'!$M$8*'W Programs'!$O$8</f>
        <v>0</v>
      </c>
      <c r="K498" s="149" t="n">
        <f aca="false">'W Programs'!$N$8</f>
        <v>0.7</v>
      </c>
      <c r="L498" s="81" t="n">
        <f aca="false">H498*K498+H470*(1-K498)</f>
        <v>53625</v>
      </c>
      <c r="M498" s="81" t="n">
        <f aca="false">L498*'W Programs'!$M$8*'W Programs'!$O$8</f>
        <v>0</v>
      </c>
      <c r="N498" s="81" t="n">
        <f aca="false">I498*'W Assumptions'!$D$55+I484*(1-'W Assumptions'!$D$55)</f>
        <v>21450</v>
      </c>
      <c r="O498" s="81" t="n">
        <f aca="false">H498-I498-J498</f>
        <v>32175</v>
      </c>
    </row>
    <row r="499" customFormat="false" ht="21" hidden="false" customHeight="true" outlineLevel="0" collapsed="false">
      <c r="C499" s="144" t="n">
        <f aca="false">47331</f>
        <v>47331</v>
      </c>
      <c r="D499" s="81" t="n">
        <f aca="false">3</f>
        <v>3</v>
      </c>
      <c r="E499" s="81" t="str">
        <f aca="false">'W Programs'!C9</f>
        <v>TLI</v>
      </c>
      <c r="F499" s="81" t="str">
        <f aca="false">'W Programs'!D9</f>
        <v>Installations</v>
      </c>
      <c r="G499" s="145" t="n">
        <f aca="false">INDEX('W Programs'!$F$9:$H$9,1,D499)*INDEX('W Assumptions'!$D$7:$F$7,1,D499)*'W Assumptions'!F106/SUM('W Assumptions'!F$95:F$106)</f>
        <v>0.1875</v>
      </c>
      <c r="H499" s="81" t="n">
        <f aca="false">G499*INDEX('W Programs'!$I$9:$K$9,1,D499)*INDEX('W Assumptions'!$D$12:$F$12,1,D499)</f>
        <v>61875</v>
      </c>
      <c r="I499" s="81" t="n">
        <f aca="false">H499*CHOOSE(D499,'W Programs'!L9,'W Programs'!Q9,'W Programs'!R9)*INDEX('W Assumptions'!$D$17:$F$17,1,D499)</f>
        <v>35887.5</v>
      </c>
      <c r="J499" s="81" t="n">
        <f aca="false">H499*'W Programs'!$M$9*'W Programs'!$O$9</f>
        <v>0</v>
      </c>
      <c r="K499" s="149" t="n">
        <f aca="false">'W Programs'!$N$9</f>
        <v>0.3</v>
      </c>
      <c r="L499" s="81" t="n">
        <f aca="false">H499*K499+H471*(1-K499)</f>
        <v>61875</v>
      </c>
      <c r="M499" s="81" t="n">
        <f aca="false">L499*'W Programs'!$M$9*'W Programs'!$O$9</f>
        <v>0</v>
      </c>
      <c r="N499" s="81" t="n">
        <f aca="false">I499*'W Assumptions'!$D$55+I485*(1-'W Assumptions'!$D$55)</f>
        <v>35887.5</v>
      </c>
      <c r="O499" s="81" t="n">
        <f aca="false">H499-I499-J499</f>
        <v>25987.5</v>
      </c>
    </row>
    <row r="500" customFormat="false" ht="21" hidden="false" customHeight="true" outlineLevel="0" collapsed="false">
      <c r="C500" s="144" t="n">
        <f aca="false">47331</f>
        <v>47331</v>
      </c>
      <c r="D500" s="81" t="n">
        <f aca="false">3</f>
        <v>3</v>
      </c>
      <c r="E500" s="81" t="str">
        <f aca="false">'W Programs'!C10</f>
        <v>TLI</v>
      </c>
      <c r="F500" s="81" t="str">
        <f aca="false">'W Programs'!D10</f>
        <v>Digital</v>
      </c>
      <c r="G500" s="145" t="n">
        <f aca="false">INDEX('W Programs'!$F$10:$H$10,1,D500)*INDEX('W Assumptions'!$D$7:$F$7,1,D500)*'W Assumptions'!F106/SUM('W Assumptions'!F$95:F$106)</f>
        <v>150</v>
      </c>
      <c r="H500" s="81" t="n">
        <f aca="false">G500*INDEX('W Programs'!$I$10:$K$10,1,D500)*INDEX('W Assumptions'!$D$12:$F$12,1,D500)</f>
        <v>56250</v>
      </c>
      <c r="I500" s="81" t="n">
        <f aca="false">H500*CHOOSE(D500,'W Programs'!L10,'W Programs'!Q10,'W Programs'!R10)*INDEX('W Assumptions'!$D$17:$F$17,1,D500)</f>
        <v>9000</v>
      </c>
      <c r="J500" s="81" t="n">
        <f aca="false">H500*'W Programs'!$M$10*'W Programs'!$O$10</f>
        <v>0</v>
      </c>
      <c r="K500" s="149" t="n">
        <f aca="false">'W Programs'!$N$10</f>
        <v>1</v>
      </c>
      <c r="L500" s="81" t="n">
        <f aca="false">H500*K500+H472*(1-K500)</f>
        <v>56250</v>
      </c>
      <c r="M500" s="81" t="n">
        <f aca="false">L500*'W Programs'!$M$10*'W Programs'!$O$10</f>
        <v>0</v>
      </c>
      <c r="N500" s="81" t="n">
        <f aca="false">I500*'W Assumptions'!$D$55+I486*(1-'W Assumptions'!$D$55)</f>
        <v>9000</v>
      </c>
      <c r="O500" s="81" t="n">
        <f aca="false">H500-I500-J500</f>
        <v>47250</v>
      </c>
    </row>
    <row r="501" customFormat="false" ht="21" hidden="false" customHeight="true" outlineLevel="0" collapsed="false">
      <c r="C501" s="144" t="n">
        <f aca="false">47331</f>
        <v>47331</v>
      </c>
      <c r="D501" s="81" t="n">
        <f aca="false">3</f>
        <v>3</v>
      </c>
      <c r="E501" s="81" t="str">
        <f aca="false">'W Programs'!C11</f>
        <v>TLI</v>
      </c>
      <c r="F501" s="81" t="str">
        <f aca="false">'W Programs'!D11</f>
        <v>Retail</v>
      </c>
      <c r="G501" s="145" t="n">
        <f aca="false">INDEX('W Programs'!$F$11:$H$11,1,D501)*INDEX('W Assumptions'!$D$7:$F$7,1,D501)*'W Assumptions'!F106/SUM('W Assumptions'!F$95:F$106)</f>
        <v>337.5</v>
      </c>
      <c r="H501" s="81" t="n">
        <f aca="false">G501*INDEX('W Programs'!$I$11:$K$11,1,D501)*INDEX('W Assumptions'!$D$12:$F$12,1,D501)</f>
        <v>87750</v>
      </c>
      <c r="I501" s="81" t="n">
        <f aca="false">H501*CHOOSE(D501,'W Programs'!L11,'W Programs'!Q11,'W Programs'!R11)*INDEX('W Assumptions'!$D$17:$F$17,1,D501)</f>
        <v>42120</v>
      </c>
      <c r="J501" s="81" t="n">
        <f aca="false">H501*'W Programs'!$M$11*'W Programs'!$O$11</f>
        <v>0</v>
      </c>
      <c r="K501" s="149" t="n">
        <f aca="false">'W Programs'!$N$11</f>
        <v>1</v>
      </c>
      <c r="L501" s="81" t="n">
        <f aca="false">H501*K501+H473*(1-K501)</f>
        <v>87750</v>
      </c>
      <c r="M501" s="81" t="n">
        <f aca="false">L501*'W Programs'!$M$11*'W Programs'!$O$11</f>
        <v>0</v>
      </c>
      <c r="N501" s="81" t="n">
        <f aca="false">I501*'W Assumptions'!$D$55+I487*(1-'W Assumptions'!$D$55)</f>
        <v>42120</v>
      </c>
      <c r="O501" s="81" t="n">
        <f aca="false">H501-I501-J501</f>
        <v>45630</v>
      </c>
    </row>
    <row r="502" customFormat="false" ht="21" hidden="false" customHeight="true" outlineLevel="0" collapsed="false">
      <c r="C502" s="144" t="n">
        <f aca="false">47331</f>
        <v>47331</v>
      </c>
      <c r="D502" s="81" t="n">
        <f aca="false">3</f>
        <v>3</v>
      </c>
      <c r="E502" s="81" t="str">
        <f aca="false">'W Programs'!C12</f>
        <v>TLI</v>
      </c>
      <c r="F502" s="81" t="str">
        <f aca="false">'W Programs'!D12</f>
        <v>Licensing</v>
      </c>
      <c r="G502" s="145" t="n">
        <f aca="false">INDEX('W Programs'!$F$12:$H$12,1,D502)*INDEX('W Assumptions'!$D$7:$F$7,1,D502)*'W Assumptions'!F106/SUM('W Assumptions'!F$95:F$106)</f>
        <v>0.0375</v>
      </c>
      <c r="H502" s="81" t="n">
        <f aca="false">G502*INDEX('W Programs'!$I$12:$K$12,1,D502)*INDEX('W Assumptions'!$D$12:$F$12,1,D502)</f>
        <v>30000</v>
      </c>
      <c r="I502" s="81" t="n">
        <f aca="false">H502*CHOOSE(D502,'W Programs'!L12,'W Programs'!Q12,'W Programs'!R12)*INDEX('W Assumptions'!$D$17:$F$17,1,D502)</f>
        <v>3000</v>
      </c>
      <c r="J502" s="81" t="n">
        <f aca="false">H502*'W Programs'!$M$12*'W Programs'!$O$12</f>
        <v>0</v>
      </c>
      <c r="K502" s="149" t="n">
        <f aca="false">'W Programs'!$N$12</f>
        <v>0.3</v>
      </c>
      <c r="L502" s="81" t="n">
        <f aca="false">H502*K502+H474*(1-K502)</f>
        <v>30000</v>
      </c>
      <c r="M502" s="81" t="n">
        <f aca="false">L502*'W Programs'!$M$12*'W Programs'!$O$12</f>
        <v>0</v>
      </c>
      <c r="N502" s="81" t="n">
        <f aca="false">I502*'W Assumptions'!$D$55+I488*(1-'W Assumptions'!$D$55)</f>
        <v>3000</v>
      </c>
      <c r="O502" s="81" t="n">
        <f aca="false">H502-I502-J502</f>
        <v>27000</v>
      </c>
    </row>
    <row r="503" customFormat="false" ht="21" hidden="false" customHeight="true" outlineLevel="0" collapsed="false">
      <c r="C503" s="144" t="n">
        <f aca="false">47331</f>
        <v>47331</v>
      </c>
      <c r="D503" s="81" t="n">
        <f aca="false">3</f>
        <v>3</v>
      </c>
      <c r="E503" s="81" t="str">
        <f aca="false">'W Programs'!C13</f>
        <v>WOO IP</v>
      </c>
      <c r="F503" s="81" t="str">
        <f aca="false">'W Programs'!D13</f>
        <v>Schools</v>
      </c>
      <c r="G503" s="145" t="n">
        <f aca="false">INDEX('W Programs'!$F$13:$H$13,1,D503)*INDEX('W Assumptions'!$D$7:$F$7,1,D503)*'W Assumptions'!F106/SUM('W Assumptions'!F$95:F$106)</f>
        <v>1.14583333333333</v>
      </c>
      <c r="H503" s="81" t="n">
        <f aca="false">G503*INDEX('W Programs'!$I$13:$K$13,1,D503)*INDEX('W Assumptions'!$D$12:$F$12,1,D503)</f>
        <v>217708.333333333</v>
      </c>
      <c r="I503" s="81" t="n">
        <f aca="false">H503*CHOOSE(D503,'W Programs'!L13,'W Programs'!Q13,'W Programs'!R13)*INDEX('W Assumptions'!$D$17:$F$17,1,D503)</f>
        <v>82729.1666666667</v>
      </c>
      <c r="J503" s="81" t="n">
        <f aca="false">H503*'W Programs'!$M$13*'W Programs'!$O$13</f>
        <v>0</v>
      </c>
      <c r="K503" s="149" t="n">
        <f aca="false">'W Programs'!$N$13</f>
        <v>0.3</v>
      </c>
      <c r="L503" s="81" t="n">
        <f aca="false">H503*K503+H475*(1-K503)</f>
        <v>217708.333333333</v>
      </c>
      <c r="M503" s="81" t="n">
        <f aca="false">L503*'W Programs'!$M$13*'W Programs'!$O$13</f>
        <v>0</v>
      </c>
      <c r="N503" s="81" t="n">
        <f aca="false">I503*'W Assumptions'!$D$55+I489*(1-'W Assumptions'!$D$55)</f>
        <v>82729.1666666667</v>
      </c>
      <c r="O503" s="81" t="n">
        <f aca="false">H503-I503-J503</f>
        <v>134979.166666667</v>
      </c>
    </row>
    <row r="504" customFormat="false" ht="21" hidden="false" customHeight="true" outlineLevel="0" collapsed="false">
      <c r="C504" s="144" t="n">
        <f aca="false">47331</f>
        <v>47331</v>
      </c>
      <c r="D504" s="81" t="n">
        <f aca="false">3</f>
        <v>3</v>
      </c>
      <c r="E504" s="81" t="str">
        <f aca="false">'W Programs'!C14</f>
        <v>WOO IP</v>
      </c>
      <c r="F504" s="81" t="str">
        <f aca="false">'W Programs'!D14</f>
        <v>Activations</v>
      </c>
      <c r="G504" s="145" t="n">
        <f aca="false">INDEX('W Programs'!$F$14:$H$14,1,D504)*INDEX('W Assumptions'!$D$7:$F$7,1,D504)*'W Assumptions'!F106/SUM('W Assumptions'!F$95:F$106)</f>
        <v>1.375</v>
      </c>
      <c r="H504" s="81" t="n">
        <f aca="false">G504*INDEX('W Programs'!$I$14:$K$14,1,D504)*INDEX('W Assumptions'!$D$12:$F$12,1,D504)</f>
        <v>116875</v>
      </c>
      <c r="I504" s="81" t="n">
        <f aca="false">H504*CHOOSE(D504,'W Programs'!L14,'W Programs'!Q14,'W Programs'!R14)*INDEX('W Assumptions'!$D$17:$F$17,1,D504)</f>
        <v>58437.5</v>
      </c>
      <c r="J504" s="81" t="n">
        <f aca="false">H504*'W Programs'!$M$14*'W Programs'!$O$14</f>
        <v>0</v>
      </c>
      <c r="K504" s="149" t="n">
        <f aca="false">'W Programs'!$N$14</f>
        <v>0.3</v>
      </c>
      <c r="L504" s="81" t="n">
        <f aca="false">H504*K504+H476*(1-K504)</f>
        <v>116875</v>
      </c>
      <c r="M504" s="81" t="n">
        <f aca="false">L504*'W Programs'!$M$14*'W Programs'!$O$14</f>
        <v>0</v>
      </c>
      <c r="N504" s="81" t="n">
        <f aca="false">I504*'W Assumptions'!$D$55+I490*(1-'W Assumptions'!$D$55)</f>
        <v>58437.5</v>
      </c>
      <c r="O504" s="81" t="n">
        <f aca="false">H504-I504-J504</f>
        <v>58437.5</v>
      </c>
    </row>
    <row r="505" customFormat="false" ht="21" hidden="false" customHeight="true" outlineLevel="0" collapsed="false">
      <c r="C505" s="144" t="n">
        <f aca="false">47331</f>
        <v>47331</v>
      </c>
      <c r="D505" s="81" t="n">
        <f aca="false">3</f>
        <v>3</v>
      </c>
      <c r="E505" s="81" t="str">
        <f aca="false">'W Programs'!C15</f>
        <v>WOO IP</v>
      </c>
      <c r="F505" s="81" t="str">
        <f aca="false">'W Programs'!D15</f>
        <v>Workshops</v>
      </c>
      <c r="G505" s="145" t="n">
        <f aca="false">INDEX('W Programs'!$F$15:$H$15,1,D505)*INDEX('W Assumptions'!$D$7:$F$7,1,D505)*'W Assumptions'!F106/SUM('W Assumptions'!F$95:F$106)</f>
        <v>11.9166666666667</v>
      </c>
      <c r="H505" s="81" t="n">
        <f aca="false">G505*INDEX('W Programs'!$I$15:$K$15,1,D505)*INDEX('W Assumptions'!$D$12:$F$12,1,D505)</f>
        <v>65541.6666666667</v>
      </c>
      <c r="I505" s="81" t="n">
        <f aca="false">H505*CHOOSE(D505,'W Programs'!L15,'W Programs'!Q15,'W Programs'!R15)*INDEX('W Assumptions'!$D$17:$F$17,1,D505)</f>
        <v>26216.6666666667</v>
      </c>
      <c r="J505" s="81" t="n">
        <f aca="false">H505*'W Programs'!$M$15*'W Programs'!$O$15</f>
        <v>0</v>
      </c>
      <c r="K505" s="149" t="n">
        <f aca="false">'W Programs'!$N$15</f>
        <v>0.7</v>
      </c>
      <c r="L505" s="81" t="n">
        <f aca="false">H505*K505+H477*(1-K505)</f>
        <v>65541.6666666667</v>
      </c>
      <c r="M505" s="81" t="n">
        <f aca="false">L505*'W Programs'!$M$15*'W Programs'!$O$15</f>
        <v>0</v>
      </c>
      <c r="N505" s="81" t="n">
        <f aca="false">I505*'W Assumptions'!$D$55+I491*(1-'W Assumptions'!$D$55)</f>
        <v>26216.6666666667</v>
      </c>
      <c r="O505" s="81" t="n">
        <f aca="false">H505-I505-J505</f>
        <v>39325</v>
      </c>
    </row>
    <row r="506" customFormat="false" ht="21" hidden="false" customHeight="true" outlineLevel="0" collapsed="false">
      <c r="C506" s="144" t="n">
        <f aca="false">47331</f>
        <v>47331</v>
      </c>
      <c r="D506" s="81" t="n">
        <f aca="false">3</f>
        <v>3</v>
      </c>
      <c r="E506" s="81" t="str">
        <f aca="false">'W Programs'!C16</f>
        <v>WOO IP</v>
      </c>
      <c r="F506" s="81" t="str">
        <f aca="false">'W Programs'!D16</f>
        <v>Installations</v>
      </c>
      <c r="G506" s="145" t="n">
        <f aca="false">INDEX('W Programs'!$F$16:$H$16,1,D506)*INDEX('W Assumptions'!$D$7:$F$7,1,D506)*'W Assumptions'!F106/SUM('W Assumptions'!F$95:F$106)</f>
        <v>0.229166666666667</v>
      </c>
      <c r="H506" s="81" t="n">
        <f aca="false">G506*INDEX('W Programs'!$I$16:$K$16,1,D506)*INDEX('W Assumptions'!$D$12:$F$12,1,D506)</f>
        <v>75625</v>
      </c>
      <c r="I506" s="81" t="n">
        <f aca="false">H506*CHOOSE(D506,'W Programs'!L16,'W Programs'!Q16,'W Programs'!R16)*INDEX('W Assumptions'!$D$17:$F$17,1,D506)</f>
        <v>43862.5</v>
      </c>
      <c r="J506" s="81" t="n">
        <f aca="false">H506*'W Programs'!$M$16*'W Programs'!$O$16</f>
        <v>0</v>
      </c>
      <c r="K506" s="149" t="n">
        <f aca="false">'W Programs'!$N$16</f>
        <v>0.3</v>
      </c>
      <c r="L506" s="81" t="n">
        <f aca="false">H506*K506+H478*(1-K506)</f>
        <v>75625</v>
      </c>
      <c r="M506" s="81" t="n">
        <f aca="false">L506*'W Programs'!$M$16*'W Programs'!$O$16</f>
        <v>0</v>
      </c>
      <c r="N506" s="81" t="n">
        <f aca="false">I506*'W Assumptions'!$D$55+I492*(1-'W Assumptions'!$D$55)</f>
        <v>43862.5</v>
      </c>
      <c r="O506" s="81" t="n">
        <f aca="false">H506-I506-J506</f>
        <v>31762.5</v>
      </c>
    </row>
    <row r="507" customFormat="false" ht="21" hidden="false" customHeight="true" outlineLevel="0" collapsed="false">
      <c r="C507" s="144" t="n">
        <f aca="false">47331</f>
        <v>47331</v>
      </c>
      <c r="D507" s="81" t="n">
        <f aca="false">3</f>
        <v>3</v>
      </c>
      <c r="E507" s="81" t="str">
        <f aca="false">'W Programs'!C17</f>
        <v>WOO IP</v>
      </c>
      <c r="F507" s="81" t="str">
        <f aca="false">'W Programs'!D17</f>
        <v>Digital</v>
      </c>
      <c r="G507" s="145" t="n">
        <f aca="false">INDEX('W Programs'!$F$17:$H$17,1,D507)*INDEX('W Assumptions'!$D$7:$F$7,1,D507)*'W Assumptions'!F106/SUM('W Assumptions'!F$95:F$106)</f>
        <v>183.333333333333</v>
      </c>
      <c r="H507" s="81" t="n">
        <f aca="false">G507*INDEX('W Programs'!$I$17:$K$17,1,D507)*INDEX('W Assumptions'!$D$12:$F$12,1,D507)</f>
        <v>68750</v>
      </c>
      <c r="I507" s="81" t="n">
        <f aca="false">H507*CHOOSE(D507,'W Programs'!L17,'W Programs'!Q17,'W Programs'!R17)*INDEX('W Assumptions'!$D$17:$F$17,1,D507)</f>
        <v>11000</v>
      </c>
      <c r="J507" s="81" t="n">
        <f aca="false">H507*'W Programs'!$M$17*'W Programs'!$O$17</f>
        <v>0</v>
      </c>
      <c r="K507" s="149" t="n">
        <f aca="false">'W Programs'!$N$17</f>
        <v>1</v>
      </c>
      <c r="L507" s="81" t="n">
        <f aca="false">H507*K507+H479*(1-K507)</f>
        <v>68750</v>
      </c>
      <c r="M507" s="81" t="n">
        <f aca="false">L507*'W Programs'!$M$17*'W Programs'!$O$17</f>
        <v>0</v>
      </c>
      <c r="N507" s="81" t="n">
        <f aca="false">I507*'W Assumptions'!$D$55+I493*(1-'W Assumptions'!$D$55)</f>
        <v>11000</v>
      </c>
      <c r="O507" s="81" t="n">
        <f aca="false">H507-I507-J507</f>
        <v>57750</v>
      </c>
    </row>
    <row r="508" customFormat="false" ht="21" hidden="false" customHeight="true" outlineLevel="0" collapsed="false">
      <c r="C508" s="144" t="n">
        <f aca="false">47331</f>
        <v>47331</v>
      </c>
      <c r="D508" s="81" t="n">
        <f aca="false">3</f>
        <v>3</v>
      </c>
      <c r="E508" s="81" t="str">
        <f aca="false">'W Programs'!C18</f>
        <v>WOO IP</v>
      </c>
      <c r="F508" s="81" t="str">
        <f aca="false">'W Programs'!D18</f>
        <v>Retail</v>
      </c>
      <c r="G508" s="145" t="n">
        <f aca="false">INDEX('W Programs'!$F$18:$H$18,1,D508)*INDEX('W Assumptions'!$D$7:$F$7,1,D508)*'W Assumptions'!F106/SUM('W Assumptions'!F$95:F$106)</f>
        <v>412.5</v>
      </c>
      <c r="H508" s="81" t="n">
        <f aca="false">G508*INDEX('W Programs'!$I$18:$K$18,1,D508)*INDEX('W Assumptions'!$D$12:$F$12,1,D508)</f>
        <v>107250</v>
      </c>
      <c r="I508" s="81" t="n">
        <f aca="false">H508*CHOOSE(D508,'W Programs'!L18,'W Programs'!Q18,'W Programs'!R18)*INDEX('W Assumptions'!$D$17:$F$17,1,D508)</f>
        <v>51480</v>
      </c>
      <c r="J508" s="81" t="n">
        <f aca="false">H508*'W Programs'!$M$18*'W Programs'!$O$18</f>
        <v>0</v>
      </c>
      <c r="K508" s="149" t="n">
        <f aca="false">'W Programs'!$N$18</f>
        <v>1</v>
      </c>
      <c r="L508" s="81" t="n">
        <f aca="false">H508*K508+H480*(1-K508)</f>
        <v>107250</v>
      </c>
      <c r="M508" s="81" t="n">
        <f aca="false">L508*'W Programs'!$M$18*'W Programs'!$O$18</f>
        <v>0</v>
      </c>
      <c r="N508" s="81" t="n">
        <f aca="false">I508*'W Assumptions'!$D$55+I494*(1-'W Assumptions'!$D$55)</f>
        <v>51480</v>
      </c>
      <c r="O508" s="81" t="n">
        <f aca="false">H508-I508-J508</f>
        <v>55770</v>
      </c>
    </row>
    <row r="509" customFormat="false" ht="21" hidden="false" customHeight="true" outlineLevel="0" collapsed="false">
      <c r="C509" s="144" t="n">
        <f aca="false">47331</f>
        <v>47331</v>
      </c>
      <c r="D509" s="81" t="n">
        <f aca="false">3</f>
        <v>3</v>
      </c>
      <c r="E509" s="81" t="str">
        <f aca="false">'W Programs'!C19</f>
        <v>WOO IP</v>
      </c>
      <c r="F509" s="81" t="str">
        <f aca="false">'W Programs'!D19</f>
        <v>Licensing</v>
      </c>
      <c r="G509" s="145" t="n">
        <f aca="false">INDEX('W Programs'!$F$19:$H$19,1,D509)*INDEX('W Assumptions'!$D$7:$F$7,1,D509)*'W Assumptions'!F106/SUM('W Assumptions'!F$95:F$106)</f>
        <v>0.0458333333333333</v>
      </c>
      <c r="H509" s="81" t="n">
        <f aca="false">G509*INDEX('W Programs'!$I$19:$K$19,1,D509)*INDEX('W Assumptions'!$D$12:$F$12,1,D509)</f>
        <v>36666.6666666667</v>
      </c>
      <c r="I509" s="81" t="n">
        <f aca="false">H509*CHOOSE(D509,'W Programs'!L19,'W Programs'!Q19,'W Programs'!R19)*INDEX('W Assumptions'!$D$17:$F$17,1,D509)</f>
        <v>3666.66666666667</v>
      </c>
      <c r="J509" s="81" t="n">
        <f aca="false">H509*'W Programs'!$M$19*'W Programs'!$O$19</f>
        <v>0</v>
      </c>
      <c r="K509" s="149" t="n">
        <f aca="false">'W Programs'!$N$19</f>
        <v>0.3</v>
      </c>
      <c r="L509" s="81" t="n">
        <f aca="false">H509*K509+H481*(1-K509)</f>
        <v>36666.6666666667</v>
      </c>
      <c r="M509" s="81" t="n">
        <f aca="false">L509*'W Programs'!$M$19*'W Programs'!$O$19</f>
        <v>0</v>
      </c>
      <c r="N509" s="81" t="n">
        <f aca="false">I509*'W Assumptions'!$D$55+I495*(1-'W Assumptions'!$D$55)</f>
        <v>3666.66666666667</v>
      </c>
      <c r="O509" s="81" t="n">
        <f aca="false">H509-I509-J509</f>
        <v>33000</v>
      </c>
    </row>
    <row r="510" customFormat="false" ht="21" hidden="false" customHeight="true" outlineLevel="0" collapsed="false">
      <c r="C510" s="74"/>
      <c r="D510" s="79"/>
      <c r="E510" s="79"/>
      <c r="F510" s="79"/>
      <c r="G510" s="79"/>
      <c r="H510" s="79"/>
      <c r="I510" s="79"/>
      <c r="J510" s="79"/>
      <c r="K510" s="79"/>
      <c r="L510" s="79"/>
      <c r="M510" s="79"/>
      <c r="N510" s="79"/>
      <c r="O510" s="79"/>
    </row>
    <row r="511" customFormat="false" ht="21" hidden="false" customHeight="true" outlineLevel="0" collapsed="false">
      <c r="C511" s="74"/>
      <c r="D511" s="79"/>
      <c r="E511" s="79"/>
      <c r="F511" s="79"/>
      <c r="G511" s="79"/>
      <c r="H511" s="79"/>
      <c r="I511" s="79"/>
      <c r="J511" s="79"/>
      <c r="K511" s="79"/>
      <c r="L511" s="79"/>
      <c r="M511" s="79"/>
      <c r="N511" s="79"/>
      <c r="O511" s="79"/>
    </row>
    <row r="512" customFormat="false" ht="21" hidden="false" customHeight="true" outlineLevel="0" collapsed="false">
      <c r="C512" s="74"/>
      <c r="D512" s="79"/>
      <c r="E512" s="79"/>
      <c r="F512" s="79"/>
      <c r="G512" s="79"/>
      <c r="H512" s="79"/>
      <c r="I512" s="79"/>
      <c r="J512" s="79"/>
      <c r="K512" s="79"/>
      <c r="L512" s="79"/>
      <c r="M512" s="79"/>
      <c r="N512" s="79"/>
      <c r="O512" s="79"/>
    </row>
    <row r="513" customFormat="false" ht="21" hidden="false" customHeight="true" outlineLevel="0" collapsed="false">
      <c r="C513" s="74"/>
      <c r="D513" s="79"/>
      <c r="E513" s="79"/>
      <c r="F513" s="79"/>
      <c r="G513" s="79"/>
      <c r="H513" s="79"/>
      <c r="I513" s="79"/>
      <c r="J513" s="79"/>
      <c r="K513" s="79"/>
      <c r="L513" s="79"/>
      <c r="M513" s="79"/>
      <c r="N513" s="79"/>
      <c r="O513" s="79"/>
    </row>
    <row r="514" customFormat="false" ht="21" hidden="false" customHeight="true" outlineLevel="0" collapsed="false">
      <c r="C514" s="74"/>
      <c r="D514" s="79"/>
      <c r="E514" s="79"/>
      <c r="F514" s="79"/>
      <c r="G514" s="79"/>
      <c r="H514" s="79"/>
      <c r="I514" s="79"/>
      <c r="J514" s="79"/>
      <c r="K514" s="79"/>
      <c r="L514" s="79"/>
      <c r="M514" s="79"/>
      <c r="N514" s="79"/>
      <c r="O514" s="79"/>
    </row>
    <row r="515" customFormat="false" ht="21" hidden="false" customHeight="true" outlineLevel="0" collapsed="false">
      <c r="C515" s="74"/>
      <c r="D515" s="79"/>
      <c r="E515" s="79"/>
      <c r="F515" s="79"/>
      <c r="G515" s="79"/>
      <c r="H515" s="79"/>
      <c r="I515" s="79"/>
      <c r="J515" s="79"/>
      <c r="K515" s="79"/>
      <c r="L515" s="79"/>
      <c r="M515" s="79"/>
      <c r="N515" s="79"/>
      <c r="O515" s="7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8C1C6"/>
    <pageSetUpPr fitToPage="false"/>
  </sheetPr>
  <dimension ref="C1:T1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2.5"/>
    <col collapsed="false" customWidth="true" hidden="false" outlineLevel="0" max="3" min="3" style="0" width="15"/>
    <col collapsed="false" customWidth="true" hidden="false" outlineLevel="0" max="20" min="4" style="0" width="17"/>
  </cols>
  <sheetData>
    <row r="1" customFormat="false" ht="21" hidden="false" customHeight="true" outlineLevel="0" collapsed="false"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</row>
    <row r="2" customFormat="false" ht="30" hidden="false" customHeight="true" outlineLevel="0" collapsed="false">
      <c r="C2" s="75" t="s">
        <v>1086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</row>
    <row r="3" customFormat="false" ht="21" hidden="false" customHeight="true" outlineLevel="0" collapsed="false"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</row>
    <row r="4" customFormat="false" ht="21" hidden="false" customHeight="true" outlineLevel="0" collapsed="false">
      <c r="C4" s="74" t="s">
        <v>580</v>
      </c>
      <c r="D4" s="77" t="str">
        <f aca="false">'W Assumptions'!D3</f>
        <v>Base</v>
      </c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</row>
    <row r="5" customFormat="false" ht="39.75" hidden="false" customHeight="true" outlineLevel="0" collapsed="false">
      <c r="C5" s="97" t="s">
        <v>919</v>
      </c>
      <c r="D5" s="97" t="s">
        <v>1087</v>
      </c>
      <c r="E5" s="97" t="s">
        <v>835</v>
      </c>
      <c r="F5" s="97" t="s">
        <v>1088</v>
      </c>
      <c r="G5" s="97" t="s">
        <v>1089</v>
      </c>
      <c r="H5" s="97" t="s">
        <v>1090</v>
      </c>
      <c r="I5" s="97" t="s">
        <v>1091</v>
      </c>
      <c r="J5" s="97" t="s">
        <v>1092</v>
      </c>
      <c r="K5" s="97" t="s">
        <v>1093</v>
      </c>
      <c r="L5" s="97" t="s">
        <v>1094</v>
      </c>
      <c r="M5" s="97" t="s">
        <v>1095</v>
      </c>
      <c r="N5" s="97" t="s">
        <v>1096</v>
      </c>
      <c r="O5" s="97" t="s">
        <v>1097</v>
      </c>
      <c r="P5" s="97" t="s">
        <v>1098</v>
      </c>
      <c r="Q5" s="97" t="s">
        <v>1099</v>
      </c>
      <c r="R5" s="97" t="s">
        <v>1100</v>
      </c>
      <c r="S5" s="97" t="s">
        <v>1101</v>
      </c>
      <c r="T5" s="97" t="s">
        <v>1102</v>
      </c>
    </row>
    <row r="6" customFormat="false" ht="22.5" hidden="false" customHeight="true" outlineLevel="0" collapsed="false">
      <c r="C6" s="150" t="n">
        <f aca="false">'W Financial Model'!H6</f>
        <v>46266</v>
      </c>
      <c r="D6" s="151" t="n">
        <f aca="false">MAX(0,EOMONTH(C6,0)-MAX(C6,'W Assumptions'!$D$58)+1)/DAY(EOMONTH(C6,0))</f>
        <v>0</v>
      </c>
      <c r="E6" s="112" t="n">
        <f aca="false">D6*'W Assumptions'!$D$45</f>
        <v>0</v>
      </c>
      <c r="F6" s="112" t="n">
        <f aca="false">D6*'W Assumptions'!$D$46</f>
        <v>0</v>
      </c>
      <c r="G6" s="152" t="n">
        <f aca="false">SUM(E6:F6)</f>
        <v>0</v>
      </c>
      <c r="H6" s="112" t="n">
        <f aca="false">E6*'W Assumptions'!$D$47</f>
        <v>0</v>
      </c>
      <c r="I6" s="152" t="n">
        <f aca="false">SUM(G6:H6)</f>
        <v>0</v>
      </c>
      <c r="J6" s="112" t="n">
        <f aca="false">I6*'W Assumptions'!D120</f>
        <v>0</v>
      </c>
      <c r="K6" s="112" t="n">
        <f aca="false">I6*'W Assumptions'!D121</f>
        <v>0</v>
      </c>
      <c r="L6" s="112" t="n">
        <f aca="false">I6*'W Assumptions'!D122</f>
        <v>0</v>
      </c>
      <c r="M6" s="112" t="n">
        <f aca="false">'W Financial Model'!H26*'W Assumptions'!D123</f>
        <v>0</v>
      </c>
      <c r="N6" s="112" t="n">
        <f aca="false">'W Financial Model'!H26*'W Assumptions'!D124</f>
        <v>0</v>
      </c>
      <c r="O6" s="112" t="n">
        <f aca="false">IF(D6=0,0,'W Financial Model'!H20-J6-M6)</f>
        <v>0</v>
      </c>
      <c r="P6" s="112" t="n">
        <f aca="false">IF(D6=0,0,'W Financial Model'!H9-'W Financial Model'!H23-SUMIFS('W Program Monthly'!$J$6:$J$509,'W Program Monthly'!$C$6:$C$509,C6,'W Program Monthly'!$E$6:$E$509,"WOO IP")-K6-N6-'W Financial Model'!H27)</f>
        <v>0</v>
      </c>
      <c r="Q6" s="152" t="n">
        <f aca="false">H46</f>
        <v>0</v>
      </c>
      <c r="R6" s="152" t="n">
        <f aca="false">N46</f>
        <v>0</v>
      </c>
      <c r="S6" s="153" t="n">
        <f aca="false">SUM(Q6:R6)</f>
        <v>0</v>
      </c>
      <c r="T6" s="153" t="n">
        <f aca="false">SUMIFS($M$86:$M$97,$L$86:$L$97,"&gt;="&amp;C6,$L$86:$L$97,"&lt;"&amp;EDATE(C6,1))</f>
        <v>0</v>
      </c>
    </row>
    <row r="7" customFormat="false" ht="22.5" hidden="false" customHeight="true" outlineLevel="0" collapsed="false">
      <c r="C7" s="150" t="n">
        <f aca="false">'W Financial Model'!I6</f>
        <v>46296</v>
      </c>
      <c r="D7" s="151" t="n">
        <f aca="false">MAX(0,EOMONTH(C7,0)-MAX(C7,'W Assumptions'!$D$58)+1)/DAY(EOMONTH(C7,0))</f>
        <v>1</v>
      </c>
      <c r="E7" s="112" t="n">
        <f aca="false">D7*'W Assumptions'!$D$45</f>
        <v>15000</v>
      </c>
      <c r="F7" s="112" t="n">
        <f aca="false">D7*'W Assumptions'!$D$46</f>
        <v>4000</v>
      </c>
      <c r="G7" s="152" t="n">
        <f aca="false">SUM(E7:F7)</f>
        <v>19000</v>
      </c>
      <c r="H7" s="112" t="n">
        <f aca="false">E7*'W Assumptions'!$D$47</f>
        <v>2700</v>
      </c>
      <c r="I7" s="152" t="n">
        <f aca="false">SUM(G7:H7)</f>
        <v>21700</v>
      </c>
      <c r="J7" s="112" t="n">
        <f aca="false">I7*'W Assumptions'!D120</f>
        <v>15190</v>
      </c>
      <c r="K7" s="112" t="n">
        <f aca="false">I7*'W Assumptions'!D121</f>
        <v>4340</v>
      </c>
      <c r="L7" s="112" t="n">
        <f aca="false">I7*'W Assumptions'!D122</f>
        <v>2170</v>
      </c>
      <c r="M7" s="112" t="n">
        <f aca="false">'W Financial Model'!I26*'W Assumptions'!D123</f>
        <v>17500</v>
      </c>
      <c r="N7" s="112" t="n">
        <f aca="false">'W Financial Model'!I26*'W Assumptions'!D124</f>
        <v>7500</v>
      </c>
      <c r="O7" s="112" t="n">
        <f aca="false">IF(D7=0,0,'W Financial Model'!I20-J7-M7)</f>
        <v>155119.414118747</v>
      </c>
      <c r="P7" s="112" t="n">
        <f aca="false">IF(D7=0,0,'W Financial Model'!I9-'W Financial Model'!I23-SUMIFS('W Program Monthly'!$J$6:$J$509,'W Program Monthly'!$C$6:$C$509,C7,'W Program Monthly'!$E$6:$E$509,"WOO IP")-K7-N7-'W Financial Model'!I27)</f>
        <v>-39033.552631579</v>
      </c>
      <c r="Q7" s="152" t="n">
        <f aca="false">H47</f>
        <v>7755.97070593735</v>
      </c>
      <c r="R7" s="152" t="n">
        <f aca="false">N47</f>
        <v>0</v>
      </c>
      <c r="S7" s="153" t="n">
        <f aca="false">SUM(Q7:R7)</f>
        <v>7755.97070593735</v>
      </c>
      <c r="T7" s="153" t="n">
        <f aca="false">SUMIFS($M$86:$M$97,$L$86:$L$97,"&gt;="&amp;C7,$L$86:$L$97,"&lt;"&amp;EDATE(C7,1))</f>
        <v>0</v>
      </c>
    </row>
    <row r="8" customFormat="false" ht="22.5" hidden="false" customHeight="true" outlineLevel="0" collapsed="false">
      <c r="C8" s="150" t="n">
        <f aca="false">'W Financial Model'!J6</f>
        <v>46327</v>
      </c>
      <c r="D8" s="151" t="n">
        <f aca="false">MAX(0,EOMONTH(C8,0)-MAX(C8,'W Assumptions'!$D$58)+1)/DAY(EOMONTH(C8,0))</f>
        <v>1</v>
      </c>
      <c r="E8" s="112" t="n">
        <f aca="false">D8*'W Assumptions'!$D$45</f>
        <v>15000</v>
      </c>
      <c r="F8" s="112" t="n">
        <f aca="false">D8*'W Assumptions'!$D$46</f>
        <v>4000</v>
      </c>
      <c r="G8" s="152" t="n">
        <f aca="false">SUM(E8:F8)</f>
        <v>19000</v>
      </c>
      <c r="H8" s="112" t="n">
        <f aca="false">E8*'W Assumptions'!$D$47</f>
        <v>2700</v>
      </c>
      <c r="I8" s="152" t="n">
        <f aca="false">SUM(G8:H8)</f>
        <v>21700</v>
      </c>
      <c r="J8" s="112" t="n">
        <f aca="false">I8*'W Assumptions'!D120</f>
        <v>15190</v>
      </c>
      <c r="K8" s="112" t="n">
        <f aca="false">I8*'W Assumptions'!D121</f>
        <v>4340</v>
      </c>
      <c r="L8" s="112" t="n">
        <f aca="false">I8*'W Assumptions'!D122</f>
        <v>2170</v>
      </c>
      <c r="M8" s="112" t="n">
        <f aca="false">'W Financial Model'!J26*'W Assumptions'!D123</f>
        <v>17500</v>
      </c>
      <c r="N8" s="112" t="n">
        <f aca="false">'W Financial Model'!J26*'W Assumptions'!D124</f>
        <v>7500</v>
      </c>
      <c r="O8" s="112" t="n">
        <f aca="false">IF(D8=0,0,'W Financial Model'!J20-J8-M8)</f>
        <v>72418.0057971015</v>
      </c>
      <c r="P8" s="112" t="n">
        <f aca="false">IF(D8=0,0,'W Financial Model'!J9-'W Financial Model'!J23-SUMIFS('W Program Monthly'!$J$6:$J$509,'W Program Monthly'!$C$6:$C$509,C8,'W Program Monthly'!$E$6:$E$509,"WOO IP")-K8-N8-'W Financial Model'!J27)</f>
        <v>33772.8947368421</v>
      </c>
      <c r="Q8" s="152" t="n">
        <f aca="false">H48</f>
        <v>3620.90028985507</v>
      </c>
      <c r="R8" s="152" t="n">
        <f aca="false">N48</f>
        <v>0</v>
      </c>
      <c r="S8" s="153" t="n">
        <f aca="false">SUM(Q8:R8)</f>
        <v>3620.90028985507</v>
      </c>
      <c r="T8" s="153" t="n">
        <f aca="false">SUMIFS($M$86:$M$97,$L$86:$L$97,"&gt;="&amp;C8,$L$86:$L$97,"&lt;"&amp;EDATE(C8,1))</f>
        <v>0</v>
      </c>
    </row>
    <row r="9" customFormat="false" ht="22.5" hidden="false" customHeight="true" outlineLevel="0" collapsed="false">
      <c r="C9" s="150" t="n">
        <f aca="false">'W Financial Model'!K6</f>
        <v>46357</v>
      </c>
      <c r="D9" s="151" t="n">
        <f aca="false">MAX(0,EOMONTH(C9,0)-MAX(C9,'W Assumptions'!$D$58)+1)/DAY(EOMONTH(C9,0))</f>
        <v>1</v>
      </c>
      <c r="E9" s="112" t="n">
        <f aca="false">D9*'W Assumptions'!$D$45</f>
        <v>15000</v>
      </c>
      <c r="F9" s="112" t="n">
        <f aca="false">D9*'W Assumptions'!$D$46</f>
        <v>4000</v>
      </c>
      <c r="G9" s="152" t="n">
        <f aca="false">SUM(E9:F9)</f>
        <v>19000</v>
      </c>
      <c r="H9" s="112" t="n">
        <f aca="false">E9*'W Assumptions'!$D$47</f>
        <v>2700</v>
      </c>
      <c r="I9" s="152" t="n">
        <f aca="false">SUM(G9:H9)</f>
        <v>21700</v>
      </c>
      <c r="J9" s="112" t="n">
        <f aca="false">I9*'W Assumptions'!D120</f>
        <v>15190</v>
      </c>
      <c r="K9" s="112" t="n">
        <f aca="false">I9*'W Assumptions'!D121</f>
        <v>4340</v>
      </c>
      <c r="L9" s="112" t="n">
        <f aca="false">I9*'W Assumptions'!D122</f>
        <v>2170</v>
      </c>
      <c r="M9" s="112" t="n">
        <f aca="false">'W Financial Model'!K26*'W Assumptions'!D123</f>
        <v>17500</v>
      </c>
      <c r="N9" s="112" t="n">
        <f aca="false">'W Financial Model'!K26*'W Assumptions'!D124</f>
        <v>7500</v>
      </c>
      <c r="O9" s="112" t="n">
        <f aca="false">IF(D9=0,0,'W Financial Model'!K20-J9-M9)</f>
        <v>433422.933333333</v>
      </c>
      <c r="P9" s="112" t="n">
        <f aca="false">IF(D9=0,0,'W Financial Model'!K9-'W Financial Model'!K23-SUMIFS('W Program Monthly'!$J$6:$J$509,'W Program Monthly'!$C$6:$C$509,C9,'W Program Monthly'!$E$6:$E$509,"WOO IP")-K9-N9-'W Financial Model'!K27)</f>
        <v>56579.3421052632</v>
      </c>
      <c r="Q9" s="152" t="n">
        <f aca="false">H49</f>
        <v>21671.1466666667</v>
      </c>
      <c r="R9" s="152" t="n">
        <f aca="false">N49</f>
        <v>3848.90131578948</v>
      </c>
      <c r="S9" s="153" t="n">
        <f aca="false">SUM(Q9:R9)</f>
        <v>25520.0479824561</v>
      </c>
      <c r="T9" s="153" t="n">
        <f aca="false">SUMIFS($M$86:$M$97,$L$86:$L$97,"&gt;="&amp;C9,$L$86:$L$97,"&lt;"&amp;EDATE(C9,1))</f>
        <v>0</v>
      </c>
    </row>
    <row r="10" customFormat="false" ht="22.5" hidden="false" customHeight="true" outlineLevel="0" collapsed="false">
      <c r="C10" s="150" t="n">
        <f aca="false">'W Financial Model'!L6</f>
        <v>46388</v>
      </c>
      <c r="D10" s="151" t="n">
        <f aca="false">MAX(0,EOMONTH(C10,0)-MAX(C10,'W Assumptions'!$D$58)+1)/DAY(EOMONTH(C10,0))</f>
        <v>1</v>
      </c>
      <c r="E10" s="112" t="n">
        <f aca="false">D10*'W Assumptions'!$D$45</f>
        <v>15000</v>
      </c>
      <c r="F10" s="112" t="n">
        <f aca="false">D10*'W Assumptions'!$D$46</f>
        <v>4000</v>
      </c>
      <c r="G10" s="152" t="n">
        <f aca="false">SUM(E10:F10)</f>
        <v>19000</v>
      </c>
      <c r="H10" s="112" t="n">
        <f aca="false">E10*'W Assumptions'!$D$47</f>
        <v>2700</v>
      </c>
      <c r="I10" s="152" t="n">
        <f aca="false">SUM(G10:H10)</f>
        <v>21700</v>
      </c>
      <c r="J10" s="112" t="n">
        <f aca="false">I10*'W Assumptions'!D120</f>
        <v>15190</v>
      </c>
      <c r="K10" s="112" t="n">
        <f aca="false">I10*'W Assumptions'!D121</f>
        <v>4340</v>
      </c>
      <c r="L10" s="112" t="n">
        <f aca="false">I10*'W Assumptions'!D122</f>
        <v>2170</v>
      </c>
      <c r="M10" s="112" t="n">
        <f aca="false">'W Financial Model'!L26*'W Assumptions'!D123</f>
        <v>17500</v>
      </c>
      <c r="N10" s="112" t="n">
        <f aca="false">'W Financial Model'!L26*'W Assumptions'!D124</f>
        <v>7500</v>
      </c>
      <c r="O10" s="112" t="n">
        <f aca="false">IF(D10=0,0,'W Financial Model'!L20-J10-M10)</f>
        <v>273725.463768116</v>
      </c>
      <c r="P10" s="112" t="n">
        <f aca="false">IF(D10=0,0,'W Financial Model'!L9-'W Financial Model'!L23-SUMIFS('W Program Monthly'!$J$6:$J$509,'W Program Monthly'!$C$6:$C$509,C10,'W Program Monthly'!$E$6:$E$509,"WOO IP")-K10-N10-'W Financial Model'!L27)</f>
        <v>79385.7894736842</v>
      </c>
      <c r="Q10" s="152" t="n">
        <f aca="false">H50</f>
        <v>13686.2731884058</v>
      </c>
      <c r="R10" s="152" t="n">
        <f aca="false">N50</f>
        <v>5953.93421052632</v>
      </c>
      <c r="S10" s="153" t="n">
        <f aca="false">SUM(Q10:R10)</f>
        <v>19640.2073989321</v>
      </c>
      <c r="T10" s="153" t="n">
        <f aca="false">SUMIFS($M$86:$M$97,$L$86:$L$97,"&gt;="&amp;C10,$L$86:$L$97,"&lt;"&amp;EDATE(C10,1))</f>
        <v>0</v>
      </c>
    </row>
    <row r="11" customFormat="false" ht="22.5" hidden="false" customHeight="true" outlineLevel="0" collapsed="false">
      <c r="C11" s="150" t="n">
        <f aca="false">'W Financial Model'!M6</f>
        <v>46419</v>
      </c>
      <c r="D11" s="151" t="n">
        <f aca="false">MAX(0,EOMONTH(C11,0)-MAX(C11,'W Assumptions'!$D$58)+1)/DAY(EOMONTH(C11,0))</f>
        <v>1</v>
      </c>
      <c r="E11" s="112" t="n">
        <f aca="false">D11*'W Assumptions'!$D$45</f>
        <v>15000</v>
      </c>
      <c r="F11" s="112" t="n">
        <f aca="false">D11*'W Assumptions'!$D$46</f>
        <v>4000</v>
      </c>
      <c r="G11" s="152" t="n">
        <f aca="false">SUM(E11:F11)</f>
        <v>19000</v>
      </c>
      <c r="H11" s="112" t="n">
        <f aca="false">E11*'W Assumptions'!$D$47</f>
        <v>2700</v>
      </c>
      <c r="I11" s="152" t="n">
        <f aca="false">SUM(G11:H11)</f>
        <v>21700</v>
      </c>
      <c r="J11" s="112" t="n">
        <f aca="false">I11*'W Assumptions'!D120</f>
        <v>15190</v>
      </c>
      <c r="K11" s="112" t="n">
        <f aca="false">I11*'W Assumptions'!D121</f>
        <v>4340</v>
      </c>
      <c r="L11" s="112" t="n">
        <f aca="false">I11*'W Assumptions'!D122</f>
        <v>2170</v>
      </c>
      <c r="M11" s="112" t="n">
        <f aca="false">'W Financial Model'!M26*'W Assumptions'!D123</f>
        <v>17500</v>
      </c>
      <c r="N11" s="112" t="n">
        <f aca="false">'W Financial Model'!M26*'W Assumptions'!D124</f>
        <v>7500</v>
      </c>
      <c r="O11" s="112" t="n">
        <f aca="false">IF(D11=0,0,'W Financial Model'!M20-J11-M11)</f>
        <v>243868.973084886</v>
      </c>
      <c r="P11" s="112" t="n">
        <f aca="false">IF(D11=0,0,'W Financial Model'!M9-'W Financial Model'!M23-SUMIFS('W Program Monthly'!$J$6:$J$509,'W Program Monthly'!$C$6:$C$509,C11,'W Program Monthly'!$E$6:$E$509,"WOO IP")-K11-N11-'W Financial Model'!M27)</f>
        <v>79385.7894736842</v>
      </c>
      <c r="Q11" s="152" t="n">
        <f aca="false">H51</f>
        <v>12193.4486542443</v>
      </c>
      <c r="R11" s="152" t="n">
        <f aca="false">N51</f>
        <v>5953.93421052632</v>
      </c>
      <c r="S11" s="153" t="n">
        <f aca="false">SUM(Q11:R11)</f>
        <v>18147.3828647706</v>
      </c>
      <c r="T11" s="153" t="n">
        <f aca="false">SUMIFS($M$86:$M$97,$L$86:$L$97,"&gt;="&amp;C11,$L$86:$L$97,"&lt;"&amp;EDATE(C11,1))</f>
        <v>11376.8709957924</v>
      </c>
    </row>
    <row r="12" customFormat="false" ht="22.5" hidden="false" customHeight="true" outlineLevel="0" collapsed="false">
      <c r="C12" s="150" t="n">
        <f aca="false">'W Financial Model'!N6</f>
        <v>46447</v>
      </c>
      <c r="D12" s="151" t="n">
        <f aca="false">MAX(0,EOMONTH(C12,0)-MAX(C12,'W Assumptions'!$D$58)+1)/DAY(EOMONTH(C12,0))</f>
        <v>1</v>
      </c>
      <c r="E12" s="112" t="n">
        <f aca="false">D12*'W Assumptions'!$D$45</f>
        <v>15000</v>
      </c>
      <c r="F12" s="112" t="n">
        <f aca="false">D12*'W Assumptions'!$D$46</f>
        <v>4000</v>
      </c>
      <c r="G12" s="152" t="n">
        <f aca="false">SUM(E12:F12)</f>
        <v>19000</v>
      </c>
      <c r="H12" s="112" t="n">
        <f aca="false">E12*'W Assumptions'!$D$47</f>
        <v>2700</v>
      </c>
      <c r="I12" s="152" t="n">
        <f aca="false">SUM(G12:H12)</f>
        <v>21700</v>
      </c>
      <c r="J12" s="112" t="n">
        <f aca="false">I12*'W Assumptions'!D120</f>
        <v>15190</v>
      </c>
      <c r="K12" s="112" t="n">
        <f aca="false">I12*'W Assumptions'!D121</f>
        <v>4340</v>
      </c>
      <c r="L12" s="112" t="n">
        <f aca="false">I12*'W Assumptions'!D122</f>
        <v>2170</v>
      </c>
      <c r="M12" s="112" t="n">
        <f aca="false">'W Financial Model'!N26*'W Assumptions'!D123</f>
        <v>17500</v>
      </c>
      <c r="N12" s="112" t="n">
        <f aca="false">'W Financial Model'!N26*'W Assumptions'!D124</f>
        <v>7500</v>
      </c>
      <c r="O12" s="112" t="n">
        <f aca="false">IF(D12=0,0,'W Financial Model'!N20-J12-M12)</f>
        <v>545207.594202899</v>
      </c>
      <c r="P12" s="112" t="n">
        <f aca="false">IF(D12=0,0,'W Financial Model'!N9-'W Financial Model'!N23-SUMIFS('W Program Monthly'!$J$6:$J$509,'W Program Monthly'!$C$6:$C$509,C12,'W Program Monthly'!$E$6:$E$509,"WOO IP")-K12-N12-'W Financial Model'!N27)</f>
        <v>79385.7894736842</v>
      </c>
      <c r="Q12" s="152" t="n">
        <f aca="false">H52</f>
        <v>27260.379710145</v>
      </c>
      <c r="R12" s="152" t="n">
        <f aca="false">N52</f>
        <v>5953.93421052632</v>
      </c>
      <c r="S12" s="153" t="n">
        <f aca="false">SUM(Q12:R12)</f>
        <v>33214.3139206713</v>
      </c>
      <c r="T12" s="153" t="n">
        <f aca="false">SUMIFS($M$86:$M$97,$L$86:$L$97,"&gt;="&amp;C12,$L$86:$L$97,"&lt;"&amp;EDATE(C12,1))</f>
        <v>0</v>
      </c>
    </row>
    <row r="13" customFormat="false" ht="22.5" hidden="false" customHeight="true" outlineLevel="0" collapsed="false">
      <c r="C13" s="150" t="n">
        <f aca="false">'W Financial Model'!O6</f>
        <v>46478</v>
      </c>
      <c r="D13" s="151" t="n">
        <f aca="false">MAX(0,EOMONTH(C13,0)-MAX(C13,'W Assumptions'!$D$58)+1)/DAY(EOMONTH(C13,0))</f>
        <v>1</v>
      </c>
      <c r="E13" s="112" t="n">
        <f aca="false">D13*'W Assumptions'!$D$45</f>
        <v>15000</v>
      </c>
      <c r="F13" s="112" t="n">
        <f aca="false">D13*'W Assumptions'!$D$46</f>
        <v>4000</v>
      </c>
      <c r="G13" s="152" t="n">
        <f aca="false">SUM(E13:F13)</f>
        <v>19000</v>
      </c>
      <c r="H13" s="112" t="n">
        <f aca="false">E13*'W Assumptions'!$D$47</f>
        <v>2700</v>
      </c>
      <c r="I13" s="152" t="n">
        <f aca="false">SUM(G13:H13)</f>
        <v>21700</v>
      </c>
      <c r="J13" s="112" t="n">
        <f aca="false">I13*'W Assumptions'!D120</f>
        <v>15190</v>
      </c>
      <c r="K13" s="112" t="n">
        <f aca="false">I13*'W Assumptions'!D121</f>
        <v>4340</v>
      </c>
      <c r="L13" s="112" t="n">
        <f aca="false">I13*'W Assumptions'!D122</f>
        <v>2170</v>
      </c>
      <c r="M13" s="112" t="n">
        <f aca="false">'W Financial Model'!O26*'W Assumptions'!D123</f>
        <v>17500</v>
      </c>
      <c r="N13" s="112" t="n">
        <f aca="false">'W Financial Model'!O26*'W Assumptions'!D124</f>
        <v>7500</v>
      </c>
      <c r="O13" s="112" t="n">
        <f aca="false">IF(D13=0,0,'W Financial Model'!O20-J13-M13)</f>
        <v>540552.072463768</v>
      </c>
      <c r="P13" s="112" t="n">
        <f aca="false">IF(D13=0,0,'W Financial Model'!O9-'W Financial Model'!O23-SUMIFS('W Program Monthly'!$J$6:$J$509,'W Program Monthly'!$C$6:$C$509,C13,'W Program Monthly'!$E$6:$E$509,"WOO IP")-K13-N13-'W Financial Model'!O27)</f>
        <v>79385.7894736842</v>
      </c>
      <c r="Q13" s="152" t="n">
        <f aca="false">H53</f>
        <v>27027.6036231884</v>
      </c>
      <c r="R13" s="152" t="n">
        <f aca="false">N53</f>
        <v>5953.93421052632</v>
      </c>
      <c r="S13" s="153" t="n">
        <f aca="false">SUM(Q13:R13)</f>
        <v>32981.5378337147</v>
      </c>
      <c r="T13" s="153" t="n">
        <f aca="false">SUMIFS($M$86:$M$97,$L$86:$L$97,"&gt;="&amp;C13,$L$86:$L$97,"&lt;"&amp;EDATE(C13,1))</f>
        <v>0</v>
      </c>
    </row>
    <row r="14" customFormat="false" ht="22.5" hidden="false" customHeight="true" outlineLevel="0" collapsed="false">
      <c r="C14" s="150" t="n">
        <f aca="false">'W Financial Model'!P6</f>
        <v>46508</v>
      </c>
      <c r="D14" s="151" t="n">
        <f aca="false">MAX(0,EOMONTH(C14,0)-MAX(C14,'W Assumptions'!$D$58)+1)/DAY(EOMONTH(C14,0))</f>
        <v>1</v>
      </c>
      <c r="E14" s="112" t="n">
        <f aca="false">D14*'W Assumptions'!$D$45</f>
        <v>15000</v>
      </c>
      <c r="F14" s="112" t="n">
        <f aca="false">D14*'W Assumptions'!$D$46</f>
        <v>4000</v>
      </c>
      <c r="G14" s="152" t="n">
        <f aca="false">SUM(E14:F14)</f>
        <v>19000</v>
      </c>
      <c r="H14" s="112" t="n">
        <f aca="false">E14*'W Assumptions'!$D$47</f>
        <v>2700</v>
      </c>
      <c r="I14" s="152" t="n">
        <f aca="false">SUM(G14:H14)</f>
        <v>21700</v>
      </c>
      <c r="J14" s="112" t="n">
        <f aca="false">I14*'W Assumptions'!D120</f>
        <v>15190</v>
      </c>
      <c r="K14" s="112" t="n">
        <f aca="false">I14*'W Assumptions'!D121</f>
        <v>4340</v>
      </c>
      <c r="L14" s="112" t="n">
        <f aca="false">I14*'W Assumptions'!D122</f>
        <v>2170</v>
      </c>
      <c r="M14" s="112" t="n">
        <f aca="false">'W Financial Model'!P26*'W Assumptions'!D123</f>
        <v>17500</v>
      </c>
      <c r="N14" s="112" t="n">
        <f aca="false">'W Financial Model'!P26*'W Assumptions'!D124</f>
        <v>7500</v>
      </c>
      <c r="O14" s="112" t="n">
        <f aca="false">IF(D14=0,0,'W Financial Model'!P20-J14-M14)</f>
        <v>351355.942028986</v>
      </c>
      <c r="P14" s="112" t="n">
        <f aca="false">IF(D14=0,0,'W Financial Model'!P9-'W Financial Model'!P23-SUMIFS('W Program Monthly'!$J$6:$J$509,'W Program Monthly'!$C$6:$C$509,C14,'W Program Monthly'!$E$6:$E$509,"WOO IP")-K14-N14-'W Financial Model'!P27)</f>
        <v>79385.7894736842</v>
      </c>
      <c r="Q14" s="152" t="n">
        <f aca="false">H54</f>
        <v>17567.7971014493</v>
      </c>
      <c r="R14" s="152" t="n">
        <f aca="false">N54</f>
        <v>5953.93421052631</v>
      </c>
      <c r="S14" s="153" t="n">
        <f aca="false">SUM(Q14:R14)</f>
        <v>23521.7313119756</v>
      </c>
      <c r="T14" s="153" t="n">
        <f aca="false">SUMIFS($M$86:$M$97,$L$86:$L$97,"&gt;="&amp;C14,$L$86:$L$97,"&lt;"&amp;EDATE(C14,1))</f>
        <v>63307.6382461589</v>
      </c>
    </row>
    <row r="15" customFormat="false" ht="22.5" hidden="false" customHeight="true" outlineLevel="0" collapsed="false">
      <c r="C15" s="150" t="n">
        <f aca="false">'W Financial Model'!Q6</f>
        <v>46539</v>
      </c>
      <c r="D15" s="151" t="n">
        <f aca="false">MAX(0,EOMONTH(C15,0)-MAX(C15,'W Assumptions'!$D$58)+1)/DAY(EOMONTH(C15,0))</f>
        <v>1</v>
      </c>
      <c r="E15" s="112" t="n">
        <f aca="false">D15*'W Assumptions'!$D$45</f>
        <v>15000</v>
      </c>
      <c r="F15" s="112" t="n">
        <f aca="false">D15*'W Assumptions'!$D$46</f>
        <v>4000</v>
      </c>
      <c r="G15" s="152" t="n">
        <f aca="false">SUM(E15:F15)</f>
        <v>19000</v>
      </c>
      <c r="H15" s="112" t="n">
        <f aca="false">E15*'W Assumptions'!$D$47</f>
        <v>2700</v>
      </c>
      <c r="I15" s="152" t="n">
        <f aca="false">SUM(G15:H15)</f>
        <v>21700</v>
      </c>
      <c r="J15" s="112" t="n">
        <f aca="false">I15*'W Assumptions'!D120</f>
        <v>15190</v>
      </c>
      <c r="K15" s="112" t="n">
        <f aca="false">I15*'W Assumptions'!D121</f>
        <v>4340</v>
      </c>
      <c r="L15" s="112" t="n">
        <f aca="false">I15*'W Assumptions'!D122</f>
        <v>2170</v>
      </c>
      <c r="M15" s="112" t="n">
        <f aca="false">'W Financial Model'!Q26*'W Assumptions'!D123</f>
        <v>17500</v>
      </c>
      <c r="N15" s="112" t="n">
        <f aca="false">'W Financial Model'!Q26*'W Assumptions'!D124</f>
        <v>7500</v>
      </c>
      <c r="O15" s="112" t="n">
        <f aca="false">IF(D15=0,0,'W Financial Model'!Q20-J15-M15)</f>
        <v>367321.420289855</v>
      </c>
      <c r="P15" s="112" t="n">
        <f aca="false">IF(D15=0,0,'W Financial Model'!Q9-'W Financial Model'!Q23-SUMIFS('W Program Monthly'!$J$6:$J$509,'W Program Monthly'!$C$6:$C$509,C15,'W Program Monthly'!$E$6:$E$509,"WOO IP")-K15-N15-'W Financial Model'!Q27)</f>
        <v>79385.7894736842</v>
      </c>
      <c r="Q15" s="152" t="n">
        <f aca="false">H55</f>
        <v>18366.0710144928</v>
      </c>
      <c r="R15" s="152" t="n">
        <f aca="false">N55</f>
        <v>5953.93421052632</v>
      </c>
      <c r="S15" s="153" t="n">
        <f aca="false">SUM(Q15:R15)</f>
        <v>24320.0052250191</v>
      </c>
      <c r="T15" s="153" t="n">
        <f aca="false">SUMIFS($M$86:$M$97,$L$86:$L$97,"&gt;="&amp;C15,$L$86:$L$97,"&lt;"&amp;EDATE(C15,1))</f>
        <v>0</v>
      </c>
    </row>
    <row r="16" customFormat="false" ht="22.5" hidden="false" customHeight="true" outlineLevel="0" collapsed="false">
      <c r="C16" s="150" t="n">
        <f aca="false">'W Financial Model'!R6</f>
        <v>46569</v>
      </c>
      <c r="D16" s="151" t="n">
        <f aca="false">MAX(0,EOMONTH(C16,0)-MAX(C16,'W Assumptions'!$D$58)+1)/DAY(EOMONTH(C16,0))</f>
        <v>1</v>
      </c>
      <c r="E16" s="112" t="n">
        <f aca="false">D16*'W Assumptions'!$D$45</f>
        <v>15000</v>
      </c>
      <c r="F16" s="112" t="n">
        <f aca="false">D16*'W Assumptions'!$D$46</f>
        <v>4000</v>
      </c>
      <c r="G16" s="152" t="n">
        <f aca="false">SUM(E16:F16)</f>
        <v>19000</v>
      </c>
      <c r="H16" s="112" t="n">
        <f aca="false">E16*'W Assumptions'!$D$47</f>
        <v>2700</v>
      </c>
      <c r="I16" s="152" t="n">
        <f aca="false">SUM(G16:H16)</f>
        <v>21700</v>
      </c>
      <c r="J16" s="112" t="n">
        <f aca="false">I16*'W Assumptions'!D120</f>
        <v>15190</v>
      </c>
      <c r="K16" s="112" t="n">
        <f aca="false">I16*'W Assumptions'!D121</f>
        <v>4340</v>
      </c>
      <c r="L16" s="112" t="n">
        <f aca="false">I16*'W Assumptions'!D122</f>
        <v>2170</v>
      </c>
      <c r="M16" s="112" t="n">
        <f aca="false">'W Financial Model'!R26*'W Assumptions'!D123</f>
        <v>17500</v>
      </c>
      <c r="N16" s="112" t="n">
        <f aca="false">'W Financial Model'!R26*'W Assumptions'!D124</f>
        <v>7500</v>
      </c>
      <c r="O16" s="112" t="n">
        <f aca="false">IF(D16=0,0,'W Financial Model'!R20-J16-M16)</f>
        <v>466941.420289855</v>
      </c>
      <c r="P16" s="112" t="n">
        <f aca="false">IF(D16=0,0,'W Financial Model'!R9-'W Financial Model'!R23-SUMIFS('W Program Monthly'!$J$6:$J$509,'W Program Monthly'!$C$6:$C$509,C16,'W Program Monthly'!$E$6:$E$509,"WOO IP")-K16-N16-'W Financial Model'!R27)</f>
        <v>79385.7894736842</v>
      </c>
      <c r="Q16" s="152" t="n">
        <f aca="false">H56</f>
        <v>23347.0710144928</v>
      </c>
      <c r="R16" s="152" t="n">
        <f aca="false">N56</f>
        <v>5953.93421052631</v>
      </c>
      <c r="S16" s="153" t="n">
        <f aca="false">SUM(Q16:R16)</f>
        <v>29301.0052250191</v>
      </c>
      <c r="T16" s="153" t="n">
        <f aca="false">SUMIFS($M$86:$M$97,$L$86:$L$97,"&gt;="&amp;C16,$L$86:$L$97,"&lt;"&amp;EDATE(C16,1))</f>
        <v>0</v>
      </c>
    </row>
    <row r="17" customFormat="false" ht="22.5" hidden="false" customHeight="true" outlineLevel="0" collapsed="false">
      <c r="C17" s="150" t="n">
        <f aca="false">'W Financial Model'!S6</f>
        <v>46600</v>
      </c>
      <c r="D17" s="151" t="n">
        <f aca="false">MAX(0,EOMONTH(C17,0)-MAX(C17,'W Assumptions'!$D$58)+1)/DAY(EOMONTH(C17,0))</f>
        <v>1</v>
      </c>
      <c r="E17" s="112" t="n">
        <f aca="false">D17*'W Assumptions'!$D$45</f>
        <v>15000</v>
      </c>
      <c r="F17" s="112" t="n">
        <f aca="false">D17*'W Assumptions'!$D$46</f>
        <v>4000</v>
      </c>
      <c r="G17" s="152" t="n">
        <f aca="false">SUM(E17:F17)</f>
        <v>19000</v>
      </c>
      <c r="H17" s="112" t="n">
        <f aca="false">E17*'W Assumptions'!$D$47</f>
        <v>2700</v>
      </c>
      <c r="I17" s="152" t="n">
        <f aca="false">SUM(G17:H17)</f>
        <v>21700</v>
      </c>
      <c r="J17" s="112" t="n">
        <f aca="false">I17*'W Assumptions'!D120</f>
        <v>15190</v>
      </c>
      <c r="K17" s="112" t="n">
        <f aca="false">I17*'W Assumptions'!D121</f>
        <v>4340</v>
      </c>
      <c r="L17" s="112" t="n">
        <f aca="false">I17*'W Assumptions'!D122</f>
        <v>2170</v>
      </c>
      <c r="M17" s="112" t="n">
        <f aca="false">'W Financial Model'!S26*'W Assumptions'!D123</f>
        <v>17500</v>
      </c>
      <c r="N17" s="112" t="n">
        <f aca="false">'W Financial Model'!S26*'W Assumptions'!D124</f>
        <v>7500</v>
      </c>
      <c r="O17" s="112" t="n">
        <f aca="false">IF(D17=0,0,'W Financial Model'!S20-J17-M17)</f>
        <v>481303.68115942</v>
      </c>
      <c r="P17" s="112" t="n">
        <f aca="false">IF(D17=0,0,'W Financial Model'!S9-'W Financial Model'!S23-SUMIFS('W Program Monthly'!$J$6:$J$509,'W Program Monthly'!$C$6:$C$509,C17,'W Program Monthly'!$E$6:$E$509,"WOO IP")-K17-N17-'W Financial Model'!S27)</f>
        <v>79385.7894736842</v>
      </c>
      <c r="Q17" s="152" t="n">
        <f aca="false">H57</f>
        <v>24065.184057971</v>
      </c>
      <c r="R17" s="152" t="n">
        <f aca="false">N57</f>
        <v>5953.93421052632</v>
      </c>
      <c r="S17" s="153" t="n">
        <f aca="false">SUM(Q17:R17)</f>
        <v>30019.1182684973</v>
      </c>
      <c r="T17" s="153" t="n">
        <f aca="false">SUMIFS($M$86:$M$97,$L$86:$L$97,"&gt;="&amp;C17,$L$86:$L$97,"&lt;"&amp;EDATE(C17,1))</f>
        <v>89717.5830663616</v>
      </c>
    </row>
    <row r="18" customFormat="false" ht="22.5" hidden="false" customHeight="true" outlineLevel="0" collapsed="false">
      <c r="C18" s="150" t="n">
        <f aca="false">'W Financial Model'!T6</f>
        <v>46631</v>
      </c>
      <c r="D18" s="151" t="n">
        <f aca="false">MAX(0,EOMONTH(C18,0)-MAX(C18,'W Assumptions'!$D$58)+1)/DAY(EOMONTH(C18,0))</f>
        <v>1</v>
      </c>
      <c r="E18" s="112" t="n">
        <f aca="false">D18*'W Assumptions'!$D$45</f>
        <v>15000</v>
      </c>
      <c r="F18" s="112" t="n">
        <f aca="false">D18*'W Assumptions'!$D$46</f>
        <v>4000</v>
      </c>
      <c r="G18" s="152" t="n">
        <f aca="false">SUM(E18:F18)</f>
        <v>19000</v>
      </c>
      <c r="H18" s="112" t="n">
        <f aca="false">E18*'W Assumptions'!$D$47</f>
        <v>2700</v>
      </c>
      <c r="I18" s="152" t="n">
        <f aca="false">SUM(G18:H18)</f>
        <v>21700</v>
      </c>
      <c r="J18" s="112" t="n">
        <f aca="false">I18*'W Assumptions'!E120</f>
        <v>15190</v>
      </c>
      <c r="K18" s="112" t="n">
        <f aca="false">I18*'W Assumptions'!E121</f>
        <v>4340</v>
      </c>
      <c r="L18" s="112" t="n">
        <f aca="false">I18*'W Assumptions'!E122</f>
        <v>2170</v>
      </c>
      <c r="M18" s="112" t="n">
        <f aca="false">'W Financial Model'!T26*'W Assumptions'!E123</f>
        <v>21700</v>
      </c>
      <c r="N18" s="112" t="n">
        <f aca="false">'W Financial Model'!T26*'W Assumptions'!E124</f>
        <v>9300</v>
      </c>
      <c r="O18" s="112" t="n">
        <f aca="false">IF(D18=0,0,'W Financial Model'!T20-J18-M18)</f>
        <v>435887.148985507</v>
      </c>
      <c r="P18" s="112" t="n">
        <f aca="false">IF(D18=0,0,'W Financial Model'!T9-'W Financial Model'!T23-SUMIFS('W Program Monthly'!$J$6:$J$509,'W Program Monthly'!$C$6:$C$509,C18,'W Program Monthly'!$E$6:$E$509,"WOO IP")-K18-N18-'W Financial Model'!T27)</f>
        <v>191085</v>
      </c>
      <c r="Q18" s="152" t="n">
        <f aca="false">H58</f>
        <v>21794.3574492754</v>
      </c>
      <c r="R18" s="152" t="n">
        <f aca="false">N58</f>
        <v>14331.375</v>
      </c>
      <c r="S18" s="153" t="n">
        <f aca="false">SUM(Q18:R18)</f>
        <v>36125.7324492754</v>
      </c>
      <c r="T18" s="153" t="n">
        <f aca="false">SUMIFS($M$86:$M$97,$L$86:$L$97,"&gt;="&amp;C18,$L$86:$L$97,"&lt;"&amp;EDATE(C18,1))</f>
        <v>0</v>
      </c>
    </row>
    <row r="19" customFormat="false" ht="22.5" hidden="false" customHeight="true" outlineLevel="0" collapsed="false">
      <c r="C19" s="150" t="n">
        <f aca="false">'W Financial Model'!U6</f>
        <v>46661</v>
      </c>
      <c r="D19" s="151" t="n">
        <f aca="false">MAX(0,EOMONTH(C19,0)-MAX(C19,'W Assumptions'!$D$58)+1)/DAY(EOMONTH(C19,0))</f>
        <v>1</v>
      </c>
      <c r="E19" s="112" t="n">
        <f aca="false">D19*'W Assumptions'!$D$45</f>
        <v>15000</v>
      </c>
      <c r="F19" s="112" t="n">
        <f aca="false">D19*'W Assumptions'!$D$46</f>
        <v>4000</v>
      </c>
      <c r="G19" s="152" t="n">
        <f aca="false">SUM(E19:F19)</f>
        <v>19000</v>
      </c>
      <c r="H19" s="112" t="n">
        <f aca="false">E19*'W Assumptions'!$D$47</f>
        <v>2700</v>
      </c>
      <c r="I19" s="152" t="n">
        <f aca="false">SUM(G19:H19)</f>
        <v>21700</v>
      </c>
      <c r="J19" s="112" t="n">
        <f aca="false">I19*'W Assumptions'!E120</f>
        <v>15190</v>
      </c>
      <c r="K19" s="112" t="n">
        <f aca="false">I19*'W Assumptions'!E121</f>
        <v>4340</v>
      </c>
      <c r="L19" s="112" t="n">
        <f aca="false">I19*'W Assumptions'!E122</f>
        <v>2170</v>
      </c>
      <c r="M19" s="112" t="n">
        <f aca="false">'W Financial Model'!U26*'W Assumptions'!E123</f>
        <v>21700</v>
      </c>
      <c r="N19" s="112" t="n">
        <f aca="false">'W Financial Model'!U26*'W Assumptions'!E124</f>
        <v>9300</v>
      </c>
      <c r="O19" s="112" t="n">
        <f aca="false">IF(D19=0,0,'W Financial Model'!U20-J19-M19)</f>
        <v>633537.014768116</v>
      </c>
      <c r="P19" s="112" t="n">
        <f aca="false">IF(D19=0,0,'W Financial Model'!U9-'W Financial Model'!U23-SUMIFS('W Program Monthly'!$J$6:$J$509,'W Program Monthly'!$C$6:$C$509,C19,'W Program Monthly'!$E$6:$E$509,"WOO IP")-K19-N19-'W Financial Model'!U27)</f>
        <v>191085</v>
      </c>
      <c r="Q19" s="152" t="n">
        <f aca="false">H59</f>
        <v>31676.8507384058</v>
      </c>
      <c r="R19" s="152" t="n">
        <f aca="false">N59</f>
        <v>14331.375</v>
      </c>
      <c r="S19" s="153" t="n">
        <f aca="false">SUM(Q19:R19)</f>
        <v>46008.2257384058</v>
      </c>
      <c r="T19" s="153" t="n">
        <f aca="false">SUMIFS($M$86:$M$97,$L$86:$L$97,"&gt;="&amp;C19,$L$86:$L$97,"&lt;"&amp;EDATE(C19,1))</f>
        <v>0</v>
      </c>
    </row>
    <row r="20" customFormat="false" ht="22.5" hidden="false" customHeight="true" outlineLevel="0" collapsed="false">
      <c r="C20" s="150" t="n">
        <f aca="false">'W Financial Model'!V6</f>
        <v>46692</v>
      </c>
      <c r="D20" s="151" t="n">
        <f aca="false">MAX(0,EOMONTH(C20,0)-MAX(C20,'W Assumptions'!$D$58)+1)/DAY(EOMONTH(C20,0))</f>
        <v>1</v>
      </c>
      <c r="E20" s="112" t="n">
        <f aca="false">D20*'W Assumptions'!$D$45</f>
        <v>15000</v>
      </c>
      <c r="F20" s="112" t="n">
        <f aca="false">D20*'W Assumptions'!$D$46</f>
        <v>4000</v>
      </c>
      <c r="G20" s="152" t="n">
        <f aca="false">SUM(E20:F20)</f>
        <v>19000</v>
      </c>
      <c r="H20" s="112" t="n">
        <f aca="false">E20*'W Assumptions'!$D$47</f>
        <v>2700</v>
      </c>
      <c r="I20" s="152" t="n">
        <f aca="false">SUM(G20:H20)</f>
        <v>21700</v>
      </c>
      <c r="J20" s="112" t="n">
        <f aca="false">I20*'W Assumptions'!E120</f>
        <v>15190</v>
      </c>
      <c r="K20" s="112" t="n">
        <f aca="false">I20*'W Assumptions'!E121</f>
        <v>4340</v>
      </c>
      <c r="L20" s="112" t="n">
        <f aca="false">I20*'W Assumptions'!E122</f>
        <v>2170</v>
      </c>
      <c r="M20" s="112" t="n">
        <f aca="false">'W Financial Model'!V26*'W Assumptions'!E123</f>
        <v>21700</v>
      </c>
      <c r="N20" s="112" t="n">
        <f aca="false">'W Financial Model'!V26*'W Assumptions'!E124</f>
        <v>9300</v>
      </c>
      <c r="O20" s="112" t="n">
        <f aca="false">IF(D20=0,0,'W Financial Model'!V20-J20-M20)</f>
        <v>567193.880550725</v>
      </c>
      <c r="P20" s="112" t="n">
        <f aca="false">IF(D20=0,0,'W Financial Model'!V9-'W Financial Model'!V23-SUMIFS('W Program Monthly'!$J$6:$J$509,'W Program Monthly'!$C$6:$C$509,C20,'W Program Monthly'!$E$6:$E$509,"WOO IP")-K20-N20-'W Financial Model'!V27)</f>
        <v>191085</v>
      </c>
      <c r="Q20" s="152" t="n">
        <f aca="false">H60</f>
        <v>28359.6940275362</v>
      </c>
      <c r="R20" s="152" t="n">
        <f aca="false">N60</f>
        <v>14331.375</v>
      </c>
      <c r="S20" s="153" t="n">
        <f aca="false">SUM(Q20:R20)</f>
        <v>42691.0690275362</v>
      </c>
      <c r="T20" s="153" t="n">
        <f aca="false">SUMIFS($M$86:$M$97,$L$86:$L$97,"&gt;="&amp;C20,$L$86:$L$97,"&lt;"&amp;EDATE(C20,1))</f>
        <v>83640.1287185355</v>
      </c>
    </row>
    <row r="21" customFormat="false" ht="22.5" hidden="false" customHeight="true" outlineLevel="0" collapsed="false">
      <c r="C21" s="150" t="n">
        <f aca="false">'W Financial Model'!W6</f>
        <v>46722</v>
      </c>
      <c r="D21" s="151" t="n">
        <f aca="false">MAX(0,EOMONTH(C21,0)-MAX(C21,'W Assumptions'!$D$58)+1)/DAY(EOMONTH(C21,0))</f>
        <v>1</v>
      </c>
      <c r="E21" s="112" t="n">
        <f aca="false">D21*'W Assumptions'!$D$45</f>
        <v>15000</v>
      </c>
      <c r="F21" s="112" t="n">
        <f aca="false">D21*'W Assumptions'!$D$46</f>
        <v>4000</v>
      </c>
      <c r="G21" s="152" t="n">
        <f aca="false">SUM(E21:F21)</f>
        <v>19000</v>
      </c>
      <c r="H21" s="112" t="n">
        <f aca="false">E21*'W Assumptions'!$D$47</f>
        <v>2700</v>
      </c>
      <c r="I21" s="152" t="n">
        <f aca="false">SUM(G21:H21)</f>
        <v>21700</v>
      </c>
      <c r="J21" s="112" t="n">
        <f aca="false">I21*'W Assumptions'!E120</f>
        <v>15190</v>
      </c>
      <c r="K21" s="112" t="n">
        <f aca="false">I21*'W Assumptions'!E121</f>
        <v>4340</v>
      </c>
      <c r="L21" s="112" t="n">
        <f aca="false">I21*'W Assumptions'!E122</f>
        <v>2170</v>
      </c>
      <c r="M21" s="112" t="n">
        <f aca="false">'W Financial Model'!W26*'W Assumptions'!E123</f>
        <v>21700</v>
      </c>
      <c r="N21" s="112" t="n">
        <f aca="false">'W Financial Model'!W26*'W Assumptions'!E124</f>
        <v>9300</v>
      </c>
      <c r="O21" s="112" t="n">
        <f aca="false">IF(D21=0,0,'W Financial Model'!W20-J21-M21)</f>
        <v>923239.546333334</v>
      </c>
      <c r="P21" s="112" t="n">
        <f aca="false">IF(D21=0,0,'W Financial Model'!W9-'W Financial Model'!W23-SUMIFS('W Program Monthly'!$J$6:$J$509,'W Program Monthly'!$C$6:$C$509,C21,'W Program Monthly'!$E$6:$E$509,"WOO IP")-K21-N21-'W Financial Model'!W27)</f>
        <v>191085</v>
      </c>
      <c r="Q21" s="152" t="n">
        <f aca="false">H61</f>
        <v>46161.9773166667</v>
      </c>
      <c r="R21" s="152" t="n">
        <f aca="false">N61</f>
        <v>14331.375</v>
      </c>
      <c r="S21" s="153" t="n">
        <f aca="false">SUM(Q21:R21)</f>
        <v>60493.3523166667</v>
      </c>
      <c r="T21" s="153" t="n">
        <f aca="false">SUMIFS($M$86:$M$97,$L$86:$L$97,"&gt;="&amp;C21,$L$86:$L$97,"&lt;"&amp;EDATE(C21,1))</f>
        <v>0</v>
      </c>
    </row>
    <row r="22" customFormat="false" ht="22.5" hidden="false" customHeight="true" outlineLevel="0" collapsed="false">
      <c r="C22" s="150" t="n">
        <f aca="false">'W Financial Model'!X6</f>
        <v>46753</v>
      </c>
      <c r="D22" s="151" t="n">
        <f aca="false">MAX(0,EOMONTH(C22,0)-MAX(C22,'W Assumptions'!$D$58)+1)/DAY(EOMONTH(C22,0))</f>
        <v>1</v>
      </c>
      <c r="E22" s="112" t="n">
        <f aca="false">D22*'W Assumptions'!$D$45</f>
        <v>15000</v>
      </c>
      <c r="F22" s="112" t="n">
        <f aca="false">D22*'W Assumptions'!$D$46</f>
        <v>4000</v>
      </c>
      <c r="G22" s="152" t="n">
        <f aca="false">SUM(E22:F22)</f>
        <v>19000</v>
      </c>
      <c r="H22" s="112" t="n">
        <f aca="false">E22*'W Assumptions'!$D$47</f>
        <v>2700</v>
      </c>
      <c r="I22" s="152" t="n">
        <f aca="false">SUM(G22:H22)</f>
        <v>21700</v>
      </c>
      <c r="J22" s="112" t="n">
        <f aca="false">I22*'W Assumptions'!E120</f>
        <v>15190</v>
      </c>
      <c r="K22" s="112" t="n">
        <f aca="false">I22*'W Assumptions'!E121</f>
        <v>4340</v>
      </c>
      <c r="L22" s="112" t="n">
        <f aca="false">I22*'W Assumptions'!E122</f>
        <v>2170</v>
      </c>
      <c r="M22" s="112" t="n">
        <f aca="false">'W Financial Model'!X26*'W Assumptions'!E123</f>
        <v>21700</v>
      </c>
      <c r="N22" s="112" t="n">
        <f aca="false">'W Financial Model'!X26*'W Assumptions'!E124</f>
        <v>9300</v>
      </c>
      <c r="O22" s="112" t="n">
        <f aca="false">IF(D22=0,0,'W Financial Model'!X20-J22-M22)</f>
        <v>633537.014768116</v>
      </c>
      <c r="P22" s="112" t="n">
        <f aca="false">IF(D22=0,0,'W Financial Model'!X9-'W Financial Model'!X23-SUMIFS('W Program Monthly'!$J$6:$J$509,'W Program Monthly'!$C$6:$C$509,C22,'W Program Monthly'!$E$6:$E$509,"WOO IP")-K22-N22-'W Financial Model'!X27)</f>
        <v>191085</v>
      </c>
      <c r="Q22" s="152" t="n">
        <f aca="false">H62</f>
        <v>31676.8507384058</v>
      </c>
      <c r="R22" s="152" t="n">
        <f aca="false">N62</f>
        <v>14331.375</v>
      </c>
      <c r="S22" s="153" t="n">
        <f aca="false">SUM(Q22:R22)</f>
        <v>46008.2257384058</v>
      </c>
      <c r="T22" s="153" t="n">
        <f aca="false">SUMIFS($M$86:$M$97,$L$86:$L$97,"&gt;="&amp;C22,$L$86:$L$97,"&lt;"&amp;EDATE(C22,1))</f>
        <v>0</v>
      </c>
    </row>
    <row r="23" customFormat="false" ht="22.5" hidden="false" customHeight="true" outlineLevel="0" collapsed="false">
      <c r="C23" s="150" t="n">
        <f aca="false">'W Financial Model'!Y6</f>
        <v>46784</v>
      </c>
      <c r="D23" s="151" t="n">
        <f aca="false">MAX(0,EOMONTH(C23,0)-MAX(C23,'W Assumptions'!$D$58)+1)/DAY(EOMONTH(C23,0))</f>
        <v>1</v>
      </c>
      <c r="E23" s="112" t="n">
        <f aca="false">D23*'W Assumptions'!$D$45</f>
        <v>15000</v>
      </c>
      <c r="F23" s="112" t="n">
        <f aca="false">D23*'W Assumptions'!$D$46</f>
        <v>4000</v>
      </c>
      <c r="G23" s="152" t="n">
        <f aca="false">SUM(E23:F23)</f>
        <v>19000</v>
      </c>
      <c r="H23" s="112" t="n">
        <f aca="false">E23*'W Assumptions'!$D$47</f>
        <v>2700</v>
      </c>
      <c r="I23" s="152" t="n">
        <f aca="false">SUM(G23:H23)</f>
        <v>21700</v>
      </c>
      <c r="J23" s="112" t="n">
        <f aca="false">I23*'W Assumptions'!E120</f>
        <v>15190</v>
      </c>
      <c r="K23" s="112" t="n">
        <f aca="false">I23*'W Assumptions'!E121</f>
        <v>4340</v>
      </c>
      <c r="L23" s="112" t="n">
        <f aca="false">I23*'W Assumptions'!E122</f>
        <v>2170</v>
      </c>
      <c r="M23" s="112" t="n">
        <f aca="false">'W Financial Model'!Y26*'W Assumptions'!E123</f>
        <v>21700</v>
      </c>
      <c r="N23" s="112" t="n">
        <f aca="false">'W Financial Model'!Y26*'W Assumptions'!E124</f>
        <v>9300</v>
      </c>
      <c r="O23" s="112" t="n">
        <f aca="false">IF(D23=0,0,'W Financial Model'!Y20-J23-M23)</f>
        <v>435887.148985507</v>
      </c>
      <c r="P23" s="112" t="n">
        <f aca="false">IF(D23=0,0,'W Financial Model'!Y9-'W Financial Model'!Y23-SUMIFS('W Program Monthly'!$J$6:$J$509,'W Program Monthly'!$C$6:$C$509,C23,'W Program Monthly'!$E$6:$E$509,"WOO IP")-K23-N23-'W Financial Model'!Y27)</f>
        <v>191085</v>
      </c>
      <c r="Q23" s="152" t="n">
        <f aca="false">H63</f>
        <v>21794.3574492754</v>
      </c>
      <c r="R23" s="152" t="n">
        <f aca="false">N63</f>
        <v>14331.375</v>
      </c>
      <c r="S23" s="153" t="n">
        <f aca="false">SUM(Q23:R23)</f>
        <v>36125.7324492754</v>
      </c>
      <c r="T23" s="153" t="n">
        <f aca="false">SUMIFS($M$86:$M$97,$L$86:$L$97,"&gt;="&amp;C23,$L$86:$L$97,"&lt;"&amp;EDATE(C23,1))</f>
        <v>124825.027215217</v>
      </c>
    </row>
    <row r="24" customFormat="false" ht="22.5" hidden="false" customHeight="true" outlineLevel="0" collapsed="false">
      <c r="C24" s="150" t="n">
        <f aca="false">'W Financial Model'!Z6</f>
        <v>46813</v>
      </c>
      <c r="D24" s="151" t="n">
        <f aca="false">MAX(0,EOMONTH(C24,0)-MAX(C24,'W Assumptions'!$D$58)+1)/DAY(EOMONTH(C24,0))</f>
        <v>1</v>
      </c>
      <c r="E24" s="112" t="n">
        <f aca="false">D24*'W Assumptions'!$D$45</f>
        <v>15000</v>
      </c>
      <c r="F24" s="112" t="n">
        <f aca="false">D24*'W Assumptions'!$D$46</f>
        <v>4000</v>
      </c>
      <c r="G24" s="152" t="n">
        <f aca="false">SUM(E24:F24)</f>
        <v>19000</v>
      </c>
      <c r="H24" s="112" t="n">
        <f aca="false">E24*'W Assumptions'!$D$47</f>
        <v>2700</v>
      </c>
      <c r="I24" s="152" t="n">
        <f aca="false">SUM(G24:H24)</f>
        <v>21700</v>
      </c>
      <c r="J24" s="112" t="n">
        <f aca="false">I24*'W Assumptions'!E120</f>
        <v>15190</v>
      </c>
      <c r="K24" s="112" t="n">
        <f aca="false">I24*'W Assumptions'!E121</f>
        <v>4340</v>
      </c>
      <c r="L24" s="112" t="n">
        <f aca="false">I24*'W Assumptions'!E122</f>
        <v>2170</v>
      </c>
      <c r="M24" s="112" t="n">
        <f aca="false">'W Financial Model'!Z26*'W Assumptions'!E123</f>
        <v>21700</v>
      </c>
      <c r="N24" s="112" t="n">
        <f aca="false">'W Financial Model'!Z26*'W Assumptions'!E124</f>
        <v>9300</v>
      </c>
      <c r="O24" s="112" t="n">
        <f aca="false">IF(D24=0,0,'W Financial Model'!Z20-J24-M24)</f>
        <v>680108.280550725</v>
      </c>
      <c r="P24" s="112" t="n">
        <f aca="false">IF(D24=0,0,'W Financial Model'!Z9-'W Financial Model'!Z23-SUMIFS('W Program Monthly'!$J$6:$J$509,'W Program Monthly'!$C$6:$C$509,C24,'W Program Monthly'!$E$6:$E$509,"WOO IP")-K24-N24-'W Financial Model'!Z27)</f>
        <v>191085</v>
      </c>
      <c r="Q24" s="152" t="n">
        <f aca="false">H64</f>
        <v>34005.4140275363</v>
      </c>
      <c r="R24" s="152" t="n">
        <f aca="false">N64</f>
        <v>14331.375</v>
      </c>
      <c r="S24" s="153" t="n">
        <f aca="false">SUM(Q24:R24)</f>
        <v>48336.7890275363</v>
      </c>
      <c r="T24" s="153" t="n">
        <f aca="false">SUMIFS($M$86:$M$97,$L$86:$L$97,"&gt;="&amp;C24,$L$86:$L$97,"&lt;"&amp;EDATE(C24,1))</f>
        <v>0</v>
      </c>
    </row>
    <row r="25" customFormat="false" ht="22.5" hidden="false" customHeight="true" outlineLevel="0" collapsed="false">
      <c r="C25" s="150" t="n">
        <f aca="false">'W Financial Model'!AA6</f>
        <v>46844</v>
      </c>
      <c r="D25" s="151" t="n">
        <f aca="false">MAX(0,EOMONTH(C25,0)-MAX(C25,'W Assumptions'!$D$58)+1)/DAY(EOMONTH(C25,0))</f>
        <v>1</v>
      </c>
      <c r="E25" s="112" t="n">
        <f aca="false">D25*'W Assumptions'!$D$45</f>
        <v>15000</v>
      </c>
      <c r="F25" s="112" t="n">
        <f aca="false">D25*'W Assumptions'!$D$46</f>
        <v>4000</v>
      </c>
      <c r="G25" s="152" t="n">
        <f aca="false">SUM(E25:F25)</f>
        <v>19000</v>
      </c>
      <c r="H25" s="112" t="n">
        <f aca="false">E25*'W Assumptions'!$D$47</f>
        <v>2700</v>
      </c>
      <c r="I25" s="152" t="n">
        <f aca="false">SUM(G25:H25)</f>
        <v>21700</v>
      </c>
      <c r="J25" s="112" t="n">
        <f aca="false">I25*'W Assumptions'!E120</f>
        <v>15190</v>
      </c>
      <c r="K25" s="112" t="n">
        <f aca="false">I25*'W Assumptions'!E121</f>
        <v>4340</v>
      </c>
      <c r="L25" s="112" t="n">
        <f aca="false">I25*'W Assumptions'!E122</f>
        <v>2170</v>
      </c>
      <c r="M25" s="112" t="n">
        <f aca="false">'W Financial Model'!AA26*'W Assumptions'!E123</f>
        <v>21700</v>
      </c>
      <c r="N25" s="112" t="n">
        <f aca="false">'W Financial Model'!AA26*'W Assumptions'!E124</f>
        <v>9300</v>
      </c>
      <c r="O25" s="112" t="n">
        <f aca="false">IF(D25=0,0,'W Financial Model'!AA20-J25-M25)</f>
        <v>640854.214768116</v>
      </c>
      <c r="P25" s="112" t="n">
        <f aca="false">IF(D25=0,0,'W Financial Model'!AA9-'W Financial Model'!AA23-SUMIFS('W Program Monthly'!$J$6:$J$509,'W Program Monthly'!$C$6:$C$509,C25,'W Program Monthly'!$E$6:$E$509,"WOO IP")-K25-N25-'W Financial Model'!AA27)</f>
        <v>191085</v>
      </c>
      <c r="Q25" s="152" t="n">
        <f aca="false">H65</f>
        <v>32042.7107384058</v>
      </c>
      <c r="R25" s="152" t="n">
        <f aca="false">N65</f>
        <v>14331.375</v>
      </c>
      <c r="S25" s="153" t="n">
        <f aca="false">SUM(Q25:R25)</f>
        <v>46374.0857384058</v>
      </c>
      <c r="T25" s="153" t="n">
        <f aca="false">SUMIFS($M$86:$M$97,$L$86:$L$97,"&gt;="&amp;C25,$L$86:$L$97,"&lt;"&amp;EDATE(C25,1))</f>
        <v>0</v>
      </c>
    </row>
    <row r="26" customFormat="false" ht="22.5" hidden="false" customHeight="true" outlineLevel="0" collapsed="false">
      <c r="C26" s="150" t="n">
        <f aca="false">'W Financial Model'!AB6</f>
        <v>46874</v>
      </c>
      <c r="D26" s="151" t="n">
        <f aca="false">MAX(0,EOMONTH(C26,0)-MAX(C26,'W Assumptions'!$D$58)+1)/DAY(EOMONTH(C26,0))</f>
        <v>1</v>
      </c>
      <c r="E26" s="112" t="n">
        <f aca="false">D26*'W Assumptions'!$D$45</f>
        <v>15000</v>
      </c>
      <c r="F26" s="112" t="n">
        <f aca="false">D26*'W Assumptions'!$D$46</f>
        <v>4000</v>
      </c>
      <c r="G26" s="152" t="n">
        <f aca="false">SUM(E26:F26)</f>
        <v>19000</v>
      </c>
      <c r="H26" s="112" t="n">
        <f aca="false">E26*'W Assumptions'!$D$47</f>
        <v>2700</v>
      </c>
      <c r="I26" s="152" t="n">
        <f aca="false">SUM(G26:H26)</f>
        <v>21700</v>
      </c>
      <c r="J26" s="112" t="n">
        <f aca="false">I26*'W Assumptions'!E120</f>
        <v>15190</v>
      </c>
      <c r="K26" s="112" t="n">
        <f aca="false">I26*'W Assumptions'!E121</f>
        <v>4340</v>
      </c>
      <c r="L26" s="112" t="n">
        <f aca="false">I26*'W Assumptions'!E122</f>
        <v>2170</v>
      </c>
      <c r="M26" s="112" t="n">
        <f aca="false">'W Financial Model'!AB26*'W Assumptions'!E123</f>
        <v>21700</v>
      </c>
      <c r="N26" s="112" t="n">
        <f aca="false">'W Financial Model'!AB26*'W Assumptions'!E124</f>
        <v>9300</v>
      </c>
      <c r="O26" s="112" t="n">
        <f aca="false">IF(D26=0,0,'W Financial Model'!AB20-J26-M26)</f>
        <v>435887.148985507</v>
      </c>
      <c r="P26" s="112" t="n">
        <f aca="false">IF(D26=0,0,'W Financial Model'!AB9-'W Financial Model'!AB23-SUMIFS('W Program Monthly'!$J$6:$J$509,'W Program Monthly'!$C$6:$C$509,C26,'W Program Monthly'!$E$6:$E$509,"WOO IP")-K26-N26-'W Financial Model'!AB27)</f>
        <v>191085</v>
      </c>
      <c r="Q26" s="152" t="n">
        <f aca="false">H66</f>
        <v>21794.3574492754</v>
      </c>
      <c r="R26" s="152" t="n">
        <f aca="false">N66</f>
        <v>14331.375</v>
      </c>
      <c r="S26" s="153" t="n">
        <f aca="false">SUM(Q26:R26)</f>
        <v>36125.7324492754</v>
      </c>
      <c r="T26" s="153" t="n">
        <f aca="false">SUMIFS($M$86:$M$97,$L$86:$L$97,"&gt;="&amp;C26,$L$86:$L$97,"&lt;"&amp;EDATE(C26,1))</f>
        <v>142627.310504348</v>
      </c>
    </row>
    <row r="27" customFormat="false" ht="22.5" hidden="false" customHeight="true" outlineLevel="0" collapsed="false">
      <c r="C27" s="150" t="n">
        <f aca="false">'W Financial Model'!AC6</f>
        <v>46905</v>
      </c>
      <c r="D27" s="151" t="n">
        <f aca="false">MAX(0,EOMONTH(C27,0)-MAX(C27,'W Assumptions'!$D$58)+1)/DAY(EOMONTH(C27,0))</f>
        <v>1</v>
      </c>
      <c r="E27" s="112" t="n">
        <f aca="false">D27*'W Assumptions'!$D$45</f>
        <v>15000</v>
      </c>
      <c r="F27" s="112" t="n">
        <f aca="false">D27*'W Assumptions'!$D$46</f>
        <v>4000</v>
      </c>
      <c r="G27" s="152" t="n">
        <f aca="false">SUM(E27:F27)</f>
        <v>19000</v>
      </c>
      <c r="H27" s="112" t="n">
        <f aca="false">E27*'W Assumptions'!$D$47</f>
        <v>2700</v>
      </c>
      <c r="I27" s="152" t="n">
        <f aca="false">SUM(G27:H27)</f>
        <v>21700</v>
      </c>
      <c r="J27" s="112" t="n">
        <f aca="false">I27*'W Assumptions'!E120</f>
        <v>15190</v>
      </c>
      <c r="K27" s="112" t="n">
        <f aca="false">I27*'W Assumptions'!E121</f>
        <v>4340</v>
      </c>
      <c r="L27" s="112" t="n">
        <f aca="false">I27*'W Assumptions'!E122</f>
        <v>2170</v>
      </c>
      <c r="M27" s="112" t="n">
        <f aca="false">'W Financial Model'!AC26*'W Assumptions'!E123</f>
        <v>21700</v>
      </c>
      <c r="N27" s="112" t="n">
        <f aca="false">'W Financial Model'!AC26*'W Assumptions'!E124</f>
        <v>9300</v>
      </c>
      <c r="O27" s="112" t="n">
        <f aca="false">IF(D27=0,0,'W Financial Model'!AC20-J27-M27)</f>
        <v>444583.885855073</v>
      </c>
      <c r="P27" s="112" t="n">
        <f aca="false">IF(D27=0,0,'W Financial Model'!AC9-'W Financial Model'!AC23-SUMIFS('W Program Monthly'!$J$6:$J$509,'W Program Monthly'!$C$6:$C$509,C27,'W Program Monthly'!$E$6:$E$509,"WOO IP")-K27-N27-'W Financial Model'!AC27)</f>
        <v>191085</v>
      </c>
      <c r="Q27" s="152" t="n">
        <f aca="false">H67</f>
        <v>22229.1942927536</v>
      </c>
      <c r="R27" s="152" t="n">
        <f aca="false">N67</f>
        <v>14331.375</v>
      </c>
      <c r="S27" s="153" t="n">
        <f aca="false">SUM(Q27:R27)</f>
        <v>36560.5692927536</v>
      </c>
      <c r="T27" s="153" t="n">
        <f aca="false">SUMIFS($M$86:$M$97,$L$86:$L$97,"&gt;="&amp;C27,$L$86:$L$97,"&lt;"&amp;EDATE(C27,1))</f>
        <v>0</v>
      </c>
    </row>
    <row r="28" customFormat="false" ht="22.5" hidden="false" customHeight="true" outlineLevel="0" collapsed="false">
      <c r="C28" s="150" t="n">
        <f aca="false">'W Financial Model'!AD6</f>
        <v>46935</v>
      </c>
      <c r="D28" s="151" t="n">
        <f aca="false">MAX(0,EOMONTH(C28,0)-MAX(C28,'W Assumptions'!$D$58)+1)/DAY(EOMONTH(C28,0))</f>
        <v>1</v>
      </c>
      <c r="E28" s="112" t="n">
        <f aca="false">D28*'W Assumptions'!$D$45</f>
        <v>15000</v>
      </c>
      <c r="F28" s="112" t="n">
        <f aca="false">D28*'W Assumptions'!$D$46</f>
        <v>4000</v>
      </c>
      <c r="G28" s="152" t="n">
        <f aca="false">SUM(E28:F28)</f>
        <v>19000</v>
      </c>
      <c r="H28" s="112" t="n">
        <f aca="false">E28*'W Assumptions'!$D$47</f>
        <v>2700</v>
      </c>
      <c r="I28" s="152" t="n">
        <f aca="false">SUM(G28:H28)</f>
        <v>21700</v>
      </c>
      <c r="J28" s="112" t="n">
        <f aca="false">I28*'W Assumptions'!E120</f>
        <v>15190</v>
      </c>
      <c r="K28" s="112" t="n">
        <f aca="false">I28*'W Assumptions'!E121</f>
        <v>4340</v>
      </c>
      <c r="L28" s="112" t="n">
        <f aca="false">I28*'W Assumptions'!E122</f>
        <v>2170</v>
      </c>
      <c r="M28" s="112" t="n">
        <f aca="false">'W Financial Model'!AD26*'W Assumptions'!E123</f>
        <v>21700</v>
      </c>
      <c r="N28" s="112" t="n">
        <f aca="false">'W Financial Model'!AD26*'W Assumptions'!E124</f>
        <v>9300</v>
      </c>
      <c r="O28" s="112" t="n">
        <f aca="false">IF(D28=0,0,'W Financial Model'!AD20-J28-M28)</f>
        <v>550181.085855073</v>
      </c>
      <c r="P28" s="112" t="n">
        <f aca="false">IF(D28=0,0,'W Financial Model'!AD9-'W Financial Model'!AD23-SUMIFS('W Program Monthly'!$J$6:$J$509,'W Program Monthly'!$C$6:$C$509,C28,'W Program Monthly'!$E$6:$E$509,"WOO IP")-K28-N28-'W Financial Model'!AD27)</f>
        <v>191085</v>
      </c>
      <c r="Q28" s="152" t="n">
        <f aca="false">H68</f>
        <v>27509.0542927536</v>
      </c>
      <c r="R28" s="152" t="n">
        <f aca="false">N68</f>
        <v>14331.375</v>
      </c>
      <c r="S28" s="153" t="n">
        <f aca="false">SUM(Q28:R28)</f>
        <v>41840.4292927536</v>
      </c>
      <c r="T28" s="153" t="n">
        <f aca="false">SUMIFS($M$86:$M$97,$L$86:$L$97,"&gt;="&amp;C28,$L$86:$L$97,"&lt;"&amp;EDATE(C28,1))</f>
        <v>0</v>
      </c>
    </row>
    <row r="29" customFormat="false" ht="22.5" hidden="false" customHeight="true" outlineLevel="0" collapsed="false">
      <c r="C29" s="150" t="n">
        <f aca="false">'W Financial Model'!AE6</f>
        <v>46966</v>
      </c>
      <c r="D29" s="151" t="n">
        <f aca="false">MAX(0,EOMONTH(C29,0)-MAX(C29,'W Assumptions'!$D$58)+1)/DAY(EOMONTH(C29,0))</f>
        <v>1</v>
      </c>
      <c r="E29" s="112" t="n">
        <f aca="false">D29*'W Assumptions'!$D$45</f>
        <v>15000</v>
      </c>
      <c r="F29" s="112" t="n">
        <f aca="false">D29*'W Assumptions'!$D$46</f>
        <v>4000</v>
      </c>
      <c r="G29" s="152" t="n">
        <f aca="false">SUM(E29:F29)</f>
        <v>19000</v>
      </c>
      <c r="H29" s="112" t="n">
        <f aca="false">E29*'W Assumptions'!$D$47</f>
        <v>2700</v>
      </c>
      <c r="I29" s="152" t="n">
        <f aca="false">SUM(G29:H29)</f>
        <v>21700</v>
      </c>
      <c r="J29" s="112" t="n">
        <f aca="false">I29*'W Assumptions'!E120</f>
        <v>15190</v>
      </c>
      <c r="K29" s="112" t="n">
        <f aca="false">I29*'W Assumptions'!E121</f>
        <v>4340</v>
      </c>
      <c r="L29" s="112" t="n">
        <f aca="false">I29*'W Assumptions'!E122</f>
        <v>2170</v>
      </c>
      <c r="M29" s="112" t="n">
        <f aca="false">'W Financial Model'!AE26*'W Assumptions'!E123</f>
        <v>21700</v>
      </c>
      <c r="N29" s="112" t="n">
        <f aca="false">'W Financial Model'!AE26*'W Assumptions'!E124</f>
        <v>9300</v>
      </c>
      <c r="O29" s="112" t="n">
        <f aca="false">IF(D29=0,0,'W Financial Model'!AE20-J29-M29)</f>
        <v>568573.41742029</v>
      </c>
      <c r="P29" s="112" t="n">
        <f aca="false">IF(D29=0,0,'W Financial Model'!AE9-'W Financial Model'!AE23-SUMIFS('W Program Monthly'!$J$6:$J$509,'W Program Monthly'!$C$6:$C$509,C29,'W Program Monthly'!$E$6:$E$509,"WOO IP")-K29-N29-'W Financial Model'!AE27)</f>
        <v>191085</v>
      </c>
      <c r="Q29" s="152" t="n">
        <f aca="false">H69</f>
        <v>28428.6708710145</v>
      </c>
      <c r="R29" s="152" t="n">
        <f aca="false">N69</f>
        <v>14331.375</v>
      </c>
      <c r="S29" s="153" t="n">
        <f aca="false">SUM(Q29:R29)</f>
        <v>42760.0458710145</v>
      </c>
      <c r="T29" s="153" t="n">
        <f aca="false">SUMIFS($M$86:$M$97,$L$86:$L$97,"&gt;="&amp;C29,$L$86:$L$97,"&lt;"&amp;EDATE(C29,1))</f>
        <v>130836.607215217</v>
      </c>
    </row>
    <row r="30" customFormat="false" ht="22.5" hidden="false" customHeight="true" outlineLevel="0" collapsed="false">
      <c r="C30" s="150" t="n">
        <f aca="false">'W Financial Model'!AF6</f>
        <v>46997</v>
      </c>
      <c r="D30" s="151" t="n">
        <f aca="false">MAX(0,EOMONTH(C30,0)-MAX(C30,'W Assumptions'!$D$58)+1)/DAY(EOMONTH(C30,0))</f>
        <v>1</v>
      </c>
      <c r="E30" s="112" t="n">
        <f aca="false">D30*'W Assumptions'!$D$45</f>
        <v>15000</v>
      </c>
      <c r="F30" s="112" t="n">
        <f aca="false">D30*'W Assumptions'!$D$46</f>
        <v>4000</v>
      </c>
      <c r="G30" s="152" t="n">
        <f aca="false">SUM(E30:F30)</f>
        <v>19000</v>
      </c>
      <c r="H30" s="112" t="n">
        <f aca="false">E30*'W Assumptions'!$D$47</f>
        <v>2700</v>
      </c>
      <c r="I30" s="152" t="n">
        <f aca="false">SUM(G30:H30)</f>
        <v>21700</v>
      </c>
      <c r="J30" s="112" t="n">
        <f aca="false">I30*'W Assumptions'!F120</f>
        <v>15190</v>
      </c>
      <c r="K30" s="112" t="n">
        <f aca="false">I30*'W Assumptions'!F121</f>
        <v>4340</v>
      </c>
      <c r="L30" s="112" t="n">
        <f aca="false">I30*'W Assumptions'!F122</f>
        <v>2170</v>
      </c>
      <c r="M30" s="112" t="n">
        <f aca="false">'W Financial Model'!AF26*'W Assumptions'!F123</f>
        <v>26600</v>
      </c>
      <c r="N30" s="112" t="n">
        <f aca="false">'W Financial Model'!AF26*'W Assumptions'!F124</f>
        <v>11400</v>
      </c>
      <c r="O30" s="112" t="n">
        <f aca="false">IF(D30=0,0,'W Financial Model'!AF20-J30-M30)</f>
        <v>514283.553864812</v>
      </c>
      <c r="P30" s="112" t="n">
        <f aca="false">IF(D30=0,0,'W Financial Model'!AF9-'W Financial Model'!AF23-SUMIFS('W Program Monthly'!$J$6:$J$509,'W Program Monthly'!$C$6:$C$509,C30,'W Program Monthly'!$E$6:$E$509,"WOO IP")-K30-N30-'W Financial Model'!AF27)</f>
        <v>395284.166666667</v>
      </c>
      <c r="Q30" s="152" t="n">
        <f aca="false">H70</f>
        <v>25714.1776932406</v>
      </c>
      <c r="R30" s="152" t="n">
        <f aca="false">N70</f>
        <v>29646.3125</v>
      </c>
      <c r="S30" s="153" t="n">
        <f aca="false">SUM(Q30:R30)</f>
        <v>55360.4901932406</v>
      </c>
      <c r="T30" s="153" t="n">
        <f aca="false">SUMIFS($M$86:$M$97,$L$86:$L$97,"&gt;="&amp;C30,$L$86:$L$97,"&lt;"&amp;EDATE(C30,1))</f>
        <v>0</v>
      </c>
    </row>
    <row r="31" customFormat="false" ht="22.5" hidden="false" customHeight="true" outlineLevel="0" collapsed="false">
      <c r="C31" s="150" t="n">
        <f aca="false">'W Financial Model'!AG6</f>
        <v>47027</v>
      </c>
      <c r="D31" s="151" t="n">
        <f aca="false">MAX(0,EOMONTH(C31,0)-MAX(C31,'W Assumptions'!$D$58)+1)/DAY(EOMONTH(C31,0))</f>
        <v>1</v>
      </c>
      <c r="E31" s="112" t="n">
        <f aca="false">D31*'W Assumptions'!$D$45</f>
        <v>15000</v>
      </c>
      <c r="F31" s="112" t="n">
        <f aca="false">D31*'W Assumptions'!$D$46</f>
        <v>4000</v>
      </c>
      <c r="G31" s="152" t="n">
        <f aca="false">SUM(E31:F31)</f>
        <v>19000</v>
      </c>
      <c r="H31" s="112" t="n">
        <f aca="false">E31*'W Assumptions'!$D$47</f>
        <v>2700</v>
      </c>
      <c r="I31" s="152" t="n">
        <f aca="false">SUM(G31:H31)</f>
        <v>21700</v>
      </c>
      <c r="J31" s="112" t="n">
        <f aca="false">I31*'W Assumptions'!F120</f>
        <v>15190</v>
      </c>
      <c r="K31" s="112" t="n">
        <f aca="false">I31*'W Assumptions'!F121</f>
        <v>4340</v>
      </c>
      <c r="L31" s="112" t="n">
        <f aca="false">I31*'W Assumptions'!F122</f>
        <v>2170</v>
      </c>
      <c r="M31" s="112" t="n">
        <f aca="false">'W Financial Model'!AG26*'W Assumptions'!F123</f>
        <v>26600</v>
      </c>
      <c r="N31" s="112" t="n">
        <f aca="false">'W Financial Model'!AG26*'W Assumptions'!F124</f>
        <v>11400</v>
      </c>
      <c r="O31" s="112" t="n">
        <f aca="false">IF(D31=0,0,'W Financial Model'!AG20-J31-M31)</f>
        <v>725849.324641386</v>
      </c>
      <c r="P31" s="112" t="n">
        <f aca="false">IF(D31=0,0,'W Financial Model'!AG9-'W Financial Model'!AG23-SUMIFS('W Program Monthly'!$J$6:$J$509,'W Program Monthly'!$C$6:$C$509,C31,'W Program Monthly'!$E$6:$E$509,"WOO IP")-K31-N31-'W Financial Model'!AG27)</f>
        <v>395284.166666667</v>
      </c>
      <c r="Q31" s="152" t="n">
        <f aca="false">H71</f>
        <v>36292.4662320693</v>
      </c>
      <c r="R31" s="152" t="n">
        <f aca="false">N71</f>
        <v>29646.3125</v>
      </c>
      <c r="S31" s="153" t="n">
        <f aca="false">SUM(Q31:R31)</f>
        <v>65938.7787320693</v>
      </c>
      <c r="T31" s="153" t="n">
        <f aca="false">SUMIFS($M$86:$M$97,$L$86:$L$97,"&gt;="&amp;C31,$L$86:$L$97,"&lt;"&amp;EDATE(C31,1))</f>
        <v>0</v>
      </c>
    </row>
    <row r="32" customFormat="false" ht="22.5" hidden="false" customHeight="true" outlineLevel="0" collapsed="false">
      <c r="C32" s="150" t="n">
        <f aca="false">'W Financial Model'!AH6</f>
        <v>47058</v>
      </c>
      <c r="D32" s="151" t="n">
        <f aca="false">MAX(0,EOMONTH(C32,0)-MAX(C32,'W Assumptions'!$D$58)+1)/DAY(EOMONTH(C32,0))</f>
        <v>1</v>
      </c>
      <c r="E32" s="112" t="n">
        <f aca="false">D32*'W Assumptions'!$D$45</f>
        <v>15000</v>
      </c>
      <c r="F32" s="112" t="n">
        <f aca="false">D32*'W Assumptions'!$D$46</f>
        <v>4000</v>
      </c>
      <c r="G32" s="152" t="n">
        <f aca="false">SUM(E32:F32)</f>
        <v>19000</v>
      </c>
      <c r="H32" s="112" t="n">
        <f aca="false">E32*'W Assumptions'!$D$47</f>
        <v>2700</v>
      </c>
      <c r="I32" s="152" t="n">
        <f aca="false">SUM(G32:H32)</f>
        <v>21700</v>
      </c>
      <c r="J32" s="112" t="n">
        <f aca="false">I32*'W Assumptions'!F120</f>
        <v>15190</v>
      </c>
      <c r="K32" s="112" t="n">
        <f aca="false">I32*'W Assumptions'!F121</f>
        <v>4340</v>
      </c>
      <c r="L32" s="112" t="n">
        <f aca="false">I32*'W Assumptions'!F122</f>
        <v>2170</v>
      </c>
      <c r="M32" s="112" t="n">
        <f aca="false">'W Financial Model'!AH26*'W Assumptions'!F123</f>
        <v>26600</v>
      </c>
      <c r="N32" s="112" t="n">
        <f aca="false">'W Financial Model'!AH26*'W Assumptions'!F124</f>
        <v>11400</v>
      </c>
      <c r="O32" s="112" t="n">
        <f aca="false">IF(D32=0,0,'W Financial Model'!AH20-J32-M32)</f>
        <v>657582.515417959</v>
      </c>
      <c r="P32" s="112" t="n">
        <f aca="false">IF(D32=0,0,'W Financial Model'!AH9-'W Financial Model'!AH23-SUMIFS('W Program Monthly'!$J$6:$J$509,'W Program Monthly'!$C$6:$C$509,C32,'W Program Monthly'!$E$6:$E$509,"WOO IP")-K32-N32-'W Financial Model'!AH27)</f>
        <v>395284.166666667</v>
      </c>
      <c r="Q32" s="152" t="n">
        <f aca="false">H72</f>
        <v>32879.125770898</v>
      </c>
      <c r="R32" s="152" t="n">
        <f aca="false">N72</f>
        <v>29646.3125</v>
      </c>
      <c r="S32" s="153" t="n">
        <f aca="false">SUM(Q32:R32)</f>
        <v>62525.438270898</v>
      </c>
      <c r="T32" s="153" t="n">
        <f aca="false">SUMIFS($M$86:$M$97,$L$86:$L$97,"&gt;="&amp;C32,$L$86:$L$97,"&lt;"&amp;EDATE(C32,1))</f>
        <v>121161.044456522</v>
      </c>
    </row>
    <row r="33" customFormat="false" ht="22.5" hidden="false" customHeight="true" outlineLevel="0" collapsed="false">
      <c r="C33" s="150" t="n">
        <f aca="false">'W Financial Model'!AI6</f>
        <v>47088</v>
      </c>
      <c r="D33" s="151" t="n">
        <f aca="false">MAX(0,EOMONTH(C33,0)-MAX(C33,'W Assumptions'!$D$58)+1)/DAY(EOMONTH(C33,0))</f>
        <v>1</v>
      </c>
      <c r="E33" s="112" t="n">
        <f aca="false">D33*'W Assumptions'!$D$45</f>
        <v>15000</v>
      </c>
      <c r="F33" s="112" t="n">
        <f aca="false">D33*'W Assumptions'!$D$46</f>
        <v>4000</v>
      </c>
      <c r="G33" s="152" t="n">
        <f aca="false">SUM(E33:F33)</f>
        <v>19000</v>
      </c>
      <c r="H33" s="112" t="n">
        <f aca="false">E33*'W Assumptions'!$D$47</f>
        <v>2700</v>
      </c>
      <c r="I33" s="152" t="n">
        <f aca="false">SUM(G33:H33)</f>
        <v>21700</v>
      </c>
      <c r="J33" s="112" t="n">
        <f aca="false">I33*'W Assumptions'!F120</f>
        <v>15190</v>
      </c>
      <c r="K33" s="112" t="n">
        <f aca="false">I33*'W Assumptions'!F121</f>
        <v>4340</v>
      </c>
      <c r="L33" s="112" t="n">
        <f aca="false">I33*'W Assumptions'!F122</f>
        <v>2170</v>
      </c>
      <c r="M33" s="112" t="n">
        <f aca="false">'W Financial Model'!AI26*'W Assumptions'!F123</f>
        <v>26600</v>
      </c>
      <c r="N33" s="112" t="n">
        <f aca="false">'W Financial Model'!AI26*'W Assumptions'!F124</f>
        <v>11400</v>
      </c>
      <c r="O33" s="112" t="n">
        <f aca="false">IF(D33=0,0,'W Financial Model'!AI20-J33-M33)</f>
        <v>1037047.83419453</v>
      </c>
      <c r="P33" s="112" t="n">
        <f aca="false">IF(D33=0,0,'W Financial Model'!AI9-'W Financial Model'!AI23-SUMIFS('W Program Monthly'!$J$6:$J$509,'W Program Monthly'!$C$6:$C$509,C33,'W Program Monthly'!$E$6:$E$509,"WOO IP")-K33-N33-'W Financial Model'!AI27)</f>
        <v>395284.166666667</v>
      </c>
      <c r="Q33" s="152" t="n">
        <f aca="false">H73</f>
        <v>51852.3917097267</v>
      </c>
      <c r="R33" s="152" t="n">
        <f aca="false">N73</f>
        <v>29646.3125</v>
      </c>
      <c r="S33" s="153" t="n">
        <f aca="false">SUM(Q33:R33)</f>
        <v>81498.7042097267</v>
      </c>
      <c r="T33" s="153" t="n">
        <f aca="false">SUMIFS($M$86:$M$97,$L$86:$L$97,"&gt;="&amp;C33,$L$86:$L$97,"&lt;"&amp;EDATE(C33,1))</f>
        <v>0</v>
      </c>
    </row>
    <row r="34" customFormat="false" ht="22.5" hidden="false" customHeight="true" outlineLevel="0" collapsed="false">
      <c r="C34" s="150" t="n">
        <f aca="false">'W Financial Model'!AJ6</f>
        <v>47119</v>
      </c>
      <c r="D34" s="151" t="n">
        <f aca="false">MAX(0,EOMONTH(C34,0)-MAX(C34,'W Assumptions'!$D$58)+1)/DAY(EOMONTH(C34,0))</f>
        <v>1</v>
      </c>
      <c r="E34" s="112" t="n">
        <f aca="false">D34*'W Assumptions'!$D$45</f>
        <v>15000</v>
      </c>
      <c r="F34" s="112" t="n">
        <f aca="false">D34*'W Assumptions'!$D$46</f>
        <v>4000</v>
      </c>
      <c r="G34" s="152" t="n">
        <f aca="false">SUM(E34:F34)</f>
        <v>19000</v>
      </c>
      <c r="H34" s="112" t="n">
        <f aca="false">E34*'W Assumptions'!$D$47</f>
        <v>2700</v>
      </c>
      <c r="I34" s="152" t="n">
        <f aca="false">SUM(G34:H34)</f>
        <v>21700</v>
      </c>
      <c r="J34" s="112" t="n">
        <f aca="false">I34*'W Assumptions'!F120</f>
        <v>15190</v>
      </c>
      <c r="K34" s="112" t="n">
        <f aca="false">I34*'W Assumptions'!F121</f>
        <v>4340</v>
      </c>
      <c r="L34" s="112" t="n">
        <f aca="false">I34*'W Assumptions'!F122</f>
        <v>2170</v>
      </c>
      <c r="M34" s="112" t="n">
        <f aca="false">'W Financial Model'!AJ26*'W Assumptions'!F123</f>
        <v>26600</v>
      </c>
      <c r="N34" s="112" t="n">
        <f aca="false">'W Financial Model'!AJ26*'W Assumptions'!F124</f>
        <v>11400</v>
      </c>
      <c r="O34" s="112" t="n">
        <f aca="false">IF(D34=0,0,'W Financial Model'!AJ20-J34-M34)</f>
        <v>725849.324641386</v>
      </c>
      <c r="P34" s="112" t="n">
        <f aca="false">IF(D34=0,0,'W Financial Model'!AJ9-'W Financial Model'!AJ23-SUMIFS('W Program Monthly'!$J$6:$J$509,'W Program Monthly'!$C$6:$C$509,C34,'W Program Monthly'!$E$6:$E$509,"WOO IP")-K34-N34-'W Financial Model'!AJ27)</f>
        <v>395284.166666667</v>
      </c>
      <c r="Q34" s="152" t="n">
        <f aca="false">H74</f>
        <v>36292.4662320693</v>
      </c>
      <c r="R34" s="152" t="n">
        <f aca="false">N74</f>
        <v>29646.3125</v>
      </c>
      <c r="S34" s="153" t="n">
        <f aca="false">SUM(Q34:R34)</f>
        <v>65938.7787320693</v>
      </c>
      <c r="T34" s="153" t="n">
        <f aca="false">SUMIFS($M$86:$M$97,$L$86:$L$97,"&gt;="&amp;C34,$L$86:$L$97,"&lt;"&amp;EDATE(C34,1))</f>
        <v>0</v>
      </c>
    </row>
    <row r="35" customFormat="false" ht="22.5" hidden="false" customHeight="true" outlineLevel="0" collapsed="false">
      <c r="C35" s="150" t="n">
        <f aca="false">'W Financial Model'!AK6</f>
        <v>47150</v>
      </c>
      <c r="D35" s="151" t="n">
        <f aca="false">MAX(0,EOMONTH(C35,0)-MAX(C35,'W Assumptions'!$D$58)+1)/DAY(EOMONTH(C35,0))</f>
        <v>1</v>
      </c>
      <c r="E35" s="112" t="n">
        <f aca="false">D35*'W Assumptions'!$D$45</f>
        <v>15000</v>
      </c>
      <c r="F35" s="112" t="n">
        <f aca="false">D35*'W Assumptions'!$D$46</f>
        <v>4000</v>
      </c>
      <c r="G35" s="152" t="n">
        <f aca="false">SUM(E35:F35)</f>
        <v>19000</v>
      </c>
      <c r="H35" s="112" t="n">
        <f aca="false">E35*'W Assumptions'!$D$47</f>
        <v>2700</v>
      </c>
      <c r="I35" s="152" t="n">
        <f aca="false">SUM(G35:H35)</f>
        <v>21700</v>
      </c>
      <c r="J35" s="112" t="n">
        <f aca="false">I35*'W Assumptions'!F120</f>
        <v>15190</v>
      </c>
      <c r="K35" s="112" t="n">
        <f aca="false">I35*'W Assumptions'!F121</f>
        <v>4340</v>
      </c>
      <c r="L35" s="112" t="n">
        <f aca="false">I35*'W Assumptions'!F122</f>
        <v>2170</v>
      </c>
      <c r="M35" s="112" t="n">
        <f aca="false">'W Financial Model'!AK26*'W Assumptions'!F123</f>
        <v>26600</v>
      </c>
      <c r="N35" s="112" t="n">
        <f aca="false">'W Financial Model'!AK26*'W Assumptions'!F124</f>
        <v>11400</v>
      </c>
      <c r="O35" s="112" t="n">
        <f aca="false">IF(D35=0,0,'W Financial Model'!AK20-J35-M35)</f>
        <v>514283.553864812</v>
      </c>
      <c r="P35" s="112" t="n">
        <f aca="false">IF(D35=0,0,'W Financial Model'!AK9-'W Financial Model'!AK23-SUMIFS('W Program Monthly'!$J$6:$J$509,'W Program Monthly'!$C$6:$C$509,C35,'W Program Monthly'!$E$6:$E$509,"WOO IP")-K35-N35-'W Financial Model'!AK27)</f>
        <v>395284.166666667</v>
      </c>
      <c r="Q35" s="152" t="n">
        <f aca="false">H75</f>
        <v>25714.1776932406</v>
      </c>
      <c r="R35" s="152" t="n">
        <f aca="false">N75</f>
        <v>29646.3125</v>
      </c>
      <c r="S35" s="153" t="n">
        <f aca="false">SUM(Q35:R35)</f>
        <v>55360.4901932406</v>
      </c>
      <c r="T35" s="153" t="n">
        <f aca="false">SUMIFS($M$86:$M$97,$L$86:$L$97,"&gt;="&amp;C35,$L$86:$L$97,"&lt;"&amp;EDATE(C35,1))</f>
        <v>183824.707196208</v>
      </c>
    </row>
    <row r="36" customFormat="false" ht="22.5" hidden="false" customHeight="true" outlineLevel="0" collapsed="false">
      <c r="C36" s="150" t="n">
        <f aca="false">'W Financial Model'!AL6</f>
        <v>47178</v>
      </c>
      <c r="D36" s="151" t="n">
        <f aca="false">MAX(0,EOMONTH(C36,0)-MAX(C36,'W Assumptions'!$D$58)+1)/DAY(EOMONTH(C36,0))</f>
        <v>1</v>
      </c>
      <c r="E36" s="112" t="n">
        <f aca="false">D36*'W Assumptions'!$D$45</f>
        <v>15000</v>
      </c>
      <c r="F36" s="112" t="n">
        <f aca="false">D36*'W Assumptions'!$D$46</f>
        <v>4000</v>
      </c>
      <c r="G36" s="152" t="n">
        <f aca="false">SUM(E36:F36)</f>
        <v>19000</v>
      </c>
      <c r="H36" s="112" t="n">
        <f aca="false">E36*'W Assumptions'!$D$47</f>
        <v>2700</v>
      </c>
      <c r="I36" s="152" t="n">
        <f aca="false">SUM(G36:H36)</f>
        <v>21700</v>
      </c>
      <c r="J36" s="112" t="n">
        <f aca="false">I36*'W Assumptions'!F120</f>
        <v>15190</v>
      </c>
      <c r="K36" s="112" t="n">
        <f aca="false">I36*'W Assumptions'!F121</f>
        <v>4340</v>
      </c>
      <c r="L36" s="112" t="n">
        <f aca="false">I36*'W Assumptions'!F122</f>
        <v>2170</v>
      </c>
      <c r="M36" s="112" t="n">
        <f aca="false">'W Financial Model'!AL26*'W Assumptions'!F123</f>
        <v>26600</v>
      </c>
      <c r="N36" s="112" t="n">
        <f aca="false">'W Financial Model'!AL26*'W Assumptions'!F124</f>
        <v>11400</v>
      </c>
      <c r="O36" s="112" t="n">
        <f aca="false">IF(D36=0,0,'W Financial Model'!AL20-J36-M36)</f>
        <v>779237.37941796</v>
      </c>
      <c r="P36" s="112" t="n">
        <f aca="false">IF(D36=0,0,'W Financial Model'!AL9-'W Financial Model'!AL23-SUMIFS('W Program Monthly'!$J$6:$J$509,'W Program Monthly'!$C$6:$C$509,C36,'W Program Monthly'!$E$6:$E$509,"WOO IP")-K36-N36-'W Financial Model'!AL27)</f>
        <v>395284.166666667</v>
      </c>
      <c r="Q36" s="152" t="n">
        <f aca="false">H76</f>
        <v>38961.868970898</v>
      </c>
      <c r="R36" s="152" t="n">
        <f aca="false">N76</f>
        <v>29646.3125</v>
      </c>
      <c r="S36" s="153" t="n">
        <f aca="false">SUM(Q36:R36)</f>
        <v>68608.181470898</v>
      </c>
      <c r="T36" s="153" t="n">
        <f aca="false">SUMIFS($M$86:$M$97,$L$86:$L$97,"&gt;="&amp;C36,$L$86:$L$97,"&lt;"&amp;EDATE(C36,1))</f>
        <v>0</v>
      </c>
    </row>
    <row r="37" customFormat="false" ht="22.5" hidden="false" customHeight="true" outlineLevel="0" collapsed="false">
      <c r="C37" s="150" t="n">
        <f aca="false">'W Financial Model'!AM6</f>
        <v>47209</v>
      </c>
      <c r="D37" s="151" t="n">
        <f aca="false">MAX(0,EOMONTH(C37,0)-MAX(C37,'W Assumptions'!$D$58)+1)/DAY(EOMONTH(C37,0))</f>
        <v>1</v>
      </c>
      <c r="E37" s="112" t="n">
        <f aca="false">D37*'W Assumptions'!$D$45</f>
        <v>15000</v>
      </c>
      <c r="F37" s="112" t="n">
        <f aca="false">D37*'W Assumptions'!$D$46</f>
        <v>4000</v>
      </c>
      <c r="G37" s="152" t="n">
        <f aca="false">SUM(E37:F37)</f>
        <v>19000</v>
      </c>
      <c r="H37" s="112" t="n">
        <f aca="false">E37*'W Assumptions'!$D$47</f>
        <v>2700</v>
      </c>
      <c r="I37" s="152" t="n">
        <f aca="false">SUM(G37:H37)</f>
        <v>21700</v>
      </c>
      <c r="J37" s="112" t="n">
        <f aca="false">I37*'W Assumptions'!F120</f>
        <v>15190</v>
      </c>
      <c r="K37" s="112" t="n">
        <f aca="false">I37*'W Assumptions'!F121</f>
        <v>4340</v>
      </c>
      <c r="L37" s="112" t="n">
        <f aca="false">I37*'W Assumptions'!F122</f>
        <v>2170</v>
      </c>
      <c r="M37" s="112" t="n">
        <f aca="false">'W Financial Model'!AM26*'W Assumptions'!F123</f>
        <v>26600</v>
      </c>
      <c r="N37" s="112" t="n">
        <f aca="false">'W Financial Model'!AM26*'W Assumptions'!F124</f>
        <v>11400</v>
      </c>
      <c r="O37" s="112" t="n">
        <f aca="false">IF(D37=0,0,'W Financial Model'!AM20-J37-M37)</f>
        <v>735571.156641386</v>
      </c>
      <c r="P37" s="112" t="n">
        <f aca="false">IF(D37=0,0,'W Financial Model'!AM9-'W Financial Model'!AM23-SUMIFS('W Program Monthly'!$J$6:$J$509,'W Program Monthly'!$C$6:$C$509,C37,'W Program Monthly'!$E$6:$E$509,"WOO IP")-K37-N37-'W Financial Model'!AM27)</f>
        <v>395284.166666667</v>
      </c>
      <c r="Q37" s="152" t="n">
        <f aca="false">H77</f>
        <v>36778.5578320692</v>
      </c>
      <c r="R37" s="152" t="n">
        <f aca="false">N77</f>
        <v>29646.3125</v>
      </c>
      <c r="S37" s="153" t="n">
        <f aca="false">SUM(Q37:R37)</f>
        <v>66424.8703320692</v>
      </c>
      <c r="T37" s="153" t="n">
        <f aca="false">SUMIFS($M$86:$M$97,$L$86:$L$97,"&gt;="&amp;C37,$L$86:$L$97,"&lt;"&amp;EDATE(C37,1))</f>
        <v>0</v>
      </c>
    </row>
    <row r="38" customFormat="false" ht="22.5" hidden="false" customHeight="true" outlineLevel="0" collapsed="false">
      <c r="C38" s="150" t="n">
        <f aca="false">'W Financial Model'!AN6</f>
        <v>47239</v>
      </c>
      <c r="D38" s="151" t="n">
        <f aca="false">MAX(0,EOMONTH(C38,0)-MAX(C38,'W Assumptions'!$D$58)+1)/DAY(EOMONTH(C38,0))</f>
        <v>1</v>
      </c>
      <c r="E38" s="112" t="n">
        <f aca="false">D38*'W Assumptions'!$D$45</f>
        <v>15000</v>
      </c>
      <c r="F38" s="112" t="n">
        <f aca="false">D38*'W Assumptions'!$D$46</f>
        <v>4000</v>
      </c>
      <c r="G38" s="152" t="n">
        <f aca="false">SUM(E38:F38)</f>
        <v>19000</v>
      </c>
      <c r="H38" s="112" t="n">
        <f aca="false">E38*'W Assumptions'!$D$47</f>
        <v>2700</v>
      </c>
      <c r="I38" s="152" t="n">
        <f aca="false">SUM(G38:H38)</f>
        <v>21700</v>
      </c>
      <c r="J38" s="112" t="n">
        <f aca="false">I38*'W Assumptions'!F120</f>
        <v>15190</v>
      </c>
      <c r="K38" s="112" t="n">
        <f aca="false">I38*'W Assumptions'!F121</f>
        <v>4340</v>
      </c>
      <c r="L38" s="112" t="n">
        <f aca="false">I38*'W Assumptions'!F122</f>
        <v>2170</v>
      </c>
      <c r="M38" s="112" t="n">
        <f aca="false">'W Financial Model'!AN26*'W Assumptions'!F123</f>
        <v>26600</v>
      </c>
      <c r="N38" s="112" t="n">
        <f aca="false">'W Financial Model'!AN26*'W Assumptions'!F124</f>
        <v>11400</v>
      </c>
      <c r="O38" s="112" t="n">
        <f aca="false">IF(D38=0,0,'W Financial Model'!AN20-J38-M38)</f>
        <v>514283.553864812</v>
      </c>
      <c r="P38" s="112" t="n">
        <f aca="false">IF(D38=0,0,'W Financial Model'!AN9-'W Financial Model'!AN23-SUMIFS('W Program Monthly'!$J$6:$J$509,'W Program Monthly'!$C$6:$C$509,C38,'W Program Monthly'!$E$6:$E$509,"WOO IP")-K38-N38-'W Financial Model'!AN27)</f>
        <v>395284.166666667</v>
      </c>
      <c r="Q38" s="152" t="n">
        <f aca="false">H78</f>
        <v>25714.1776932406</v>
      </c>
      <c r="R38" s="152" t="n">
        <f aca="false">N78</f>
        <v>29646.3125</v>
      </c>
      <c r="S38" s="153" t="n">
        <f aca="false">SUM(Q38:R38)</f>
        <v>55360.4901932407</v>
      </c>
      <c r="T38" s="153" t="n">
        <f aca="false">SUMIFS($M$86:$M$97,$L$86:$L$97,"&gt;="&amp;C38,$L$86:$L$97,"&lt;"&amp;EDATE(C38,1))</f>
        <v>202797.973135037</v>
      </c>
    </row>
    <row r="39" customFormat="false" ht="22.5" hidden="false" customHeight="true" outlineLevel="0" collapsed="false">
      <c r="C39" s="150" t="n">
        <f aca="false">'W Financial Model'!AO6</f>
        <v>47270</v>
      </c>
      <c r="D39" s="151" t="n">
        <f aca="false">MAX(0,EOMONTH(C39,0)-MAX(C39,'W Assumptions'!$D$58)+1)/DAY(EOMONTH(C39,0))</f>
        <v>1</v>
      </c>
      <c r="E39" s="112" t="n">
        <f aca="false">D39*'W Assumptions'!$D$45</f>
        <v>15000</v>
      </c>
      <c r="F39" s="112" t="n">
        <f aca="false">D39*'W Assumptions'!$D$46</f>
        <v>4000</v>
      </c>
      <c r="G39" s="152" t="n">
        <f aca="false">SUM(E39:F39)</f>
        <v>19000</v>
      </c>
      <c r="H39" s="112" t="n">
        <f aca="false">E39*'W Assumptions'!$D$47</f>
        <v>2700</v>
      </c>
      <c r="I39" s="152" t="n">
        <f aca="false">SUM(G39:H39)</f>
        <v>21700</v>
      </c>
      <c r="J39" s="112" t="n">
        <f aca="false">I39*'W Assumptions'!F120</f>
        <v>15190</v>
      </c>
      <c r="K39" s="112" t="n">
        <f aca="false">I39*'W Assumptions'!F121</f>
        <v>4340</v>
      </c>
      <c r="L39" s="112" t="n">
        <f aca="false">I39*'W Assumptions'!F122</f>
        <v>2170</v>
      </c>
      <c r="M39" s="112" t="n">
        <f aca="false">'W Financial Model'!AO26*'W Assumptions'!F123</f>
        <v>26600</v>
      </c>
      <c r="N39" s="112" t="n">
        <f aca="false">'W Financial Model'!AO26*'W Assumptions'!F124</f>
        <v>11400</v>
      </c>
      <c r="O39" s="112" t="n">
        <f aca="false">IF(D39=0,0,'W Financial Model'!AO20-J39-M39)</f>
        <v>517240.042758516</v>
      </c>
      <c r="P39" s="112" t="n">
        <f aca="false">IF(D39=0,0,'W Financial Model'!AO9-'W Financial Model'!AO23-SUMIFS('W Program Monthly'!$J$6:$J$509,'W Program Monthly'!$C$6:$C$509,C39,'W Program Monthly'!$E$6:$E$509,"WOO IP")-K39-N39-'W Financial Model'!AO27)</f>
        <v>395284.166666667</v>
      </c>
      <c r="Q39" s="152" t="n">
        <f aca="false">H79</f>
        <v>25862.0021379258</v>
      </c>
      <c r="R39" s="152" t="n">
        <f aca="false">N79</f>
        <v>29646.3125</v>
      </c>
      <c r="S39" s="153" t="n">
        <f aca="false">SUM(Q39:R39)</f>
        <v>55508.3146379258</v>
      </c>
      <c r="T39" s="153" t="n">
        <f aca="false">SUMIFS($M$86:$M$97,$L$86:$L$97,"&gt;="&amp;C39,$L$86:$L$97,"&lt;"&amp;EDATE(C39,1))</f>
        <v>0</v>
      </c>
    </row>
    <row r="40" customFormat="false" ht="22.5" hidden="false" customHeight="true" outlineLevel="0" collapsed="false">
      <c r="C40" s="150" t="n">
        <f aca="false">'W Financial Model'!AP6</f>
        <v>47300</v>
      </c>
      <c r="D40" s="151" t="n">
        <f aca="false">MAX(0,EOMONTH(C40,0)-MAX(C40,'W Assumptions'!$D$58)+1)/DAY(EOMONTH(C40,0))</f>
        <v>1</v>
      </c>
      <c r="E40" s="112" t="n">
        <f aca="false">D40*'W Assumptions'!$D$45</f>
        <v>15000</v>
      </c>
      <c r="F40" s="112" t="n">
        <f aca="false">D40*'W Assumptions'!$D$46</f>
        <v>4000</v>
      </c>
      <c r="G40" s="152" t="n">
        <f aca="false">SUM(E40:F40)</f>
        <v>19000</v>
      </c>
      <c r="H40" s="112" t="n">
        <f aca="false">E40*'W Assumptions'!$D$47</f>
        <v>2700</v>
      </c>
      <c r="I40" s="152" t="n">
        <f aca="false">SUM(G40:H40)</f>
        <v>21700</v>
      </c>
      <c r="J40" s="112" t="n">
        <f aca="false">I40*'W Assumptions'!F120</f>
        <v>15190</v>
      </c>
      <c r="K40" s="112" t="n">
        <f aca="false">I40*'W Assumptions'!F121</f>
        <v>4340</v>
      </c>
      <c r="L40" s="112" t="n">
        <f aca="false">I40*'W Assumptions'!F122</f>
        <v>2170</v>
      </c>
      <c r="M40" s="112" t="n">
        <f aca="false">'W Financial Model'!AP26*'W Assumptions'!F123</f>
        <v>26600</v>
      </c>
      <c r="N40" s="112" t="n">
        <f aca="false">'W Financial Model'!AP26*'W Assumptions'!F124</f>
        <v>11400</v>
      </c>
      <c r="O40" s="112" t="n">
        <f aca="false">IF(D40=0,0,'W Financial Model'!AP20-J40-M40)</f>
        <v>629173.074758516</v>
      </c>
      <c r="P40" s="112" t="n">
        <f aca="false">IF(D40=0,0,'W Financial Model'!AP9-'W Financial Model'!AP23-SUMIFS('W Program Monthly'!$J$6:$J$509,'W Program Monthly'!$C$6:$C$509,C40,'W Program Monthly'!$E$6:$E$509,"WOO IP")-K40-N40-'W Financial Model'!AP27)</f>
        <v>395284.166666667</v>
      </c>
      <c r="Q40" s="152" t="n">
        <f aca="false">H80</f>
        <v>31458.6537379258</v>
      </c>
      <c r="R40" s="152" t="n">
        <f aca="false">N80</f>
        <v>29646.3125</v>
      </c>
      <c r="S40" s="153" t="n">
        <f aca="false">SUM(Q40:R40)</f>
        <v>61104.9662379258</v>
      </c>
      <c r="T40" s="153" t="n">
        <f aca="false">SUMIFS($M$86:$M$97,$L$86:$L$97,"&gt;="&amp;C40,$L$86:$L$97,"&lt;"&amp;EDATE(C40,1))</f>
        <v>0</v>
      </c>
    </row>
    <row r="41" customFormat="false" ht="22.5" hidden="false" customHeight="true" outlineLevel="0" collapsed="false">
      <c r="C41" s="150" t="n">
        <f aca="false">'W Financial Model'!AQ6</f>
        <v>47331</v>
      </c>
      <c r="D41" s="151" t="n">
        <f aca="false">MAX(0,EOMONTH(C41,0)-MAX(C41,'W Assumptions'!$D$58)+1)/DAY(EOMONTH(C41,0))</f>
        <v>1</v>
      </c>
      <c r="E41" s="112" t="n">
        <f aca="false">D41*'W Assumptions'!$D$45</f>
        <v>15000</v>
      </c>
      <c r="F41" s="112" t="n">
        <f aca="false">D41*'W Assumptions'!$D$46</f>
        <v>4000</v>
      </c>
      <c r="G41" s="152" t="n">
        <f aca="false">SUM(E41:F41)</f>
        <v>19000</v>
      </c>
      <c r="H41" s="112" t="n">
        <f aca="false">E41*'W Assumptions'!$D$47</f>
        <v>2700</v>
      </c>
      <c r="I41" s="152" t="n">
        <f aca="false">SUM(G41:H41)</f>
        <v>21700</v>
      </c>
      <c r="J41" s="112" t="n">
        <f aca="false">I41*'W Assumptions'!F120</f>
        <v>15190</v>
      </c>
      <c r="K41" s="112" t="n">
        <f aca="false">I41*'W Assumptions'!F121</f>
        <v>4340</v>
      </c>
      <c r="L41" s="112" t="n">
        <f aca="false">I41*'W Assumptions'!F122</f>
        <v>2170</v>
      </c>
      <c r="M41" s="112" t="n">
        <f aca="false">'W Financial Model'!AQ26*'W Assumptions'!F123</f>
        <v>26600</v>
      </c>
      <c r="N41" s="112" t="n">
        <f aca="false">'W Financial Model'!AQ26*'W Assumptions'!F124</f>
        <v>11400</v>
      </c>
      <c r="O41" s="112" t="n">
        <f aca="false">IF(D41=0,0,'W Financial Model'!AQ20-J41-M41)</f>
        <v>650817.172311664</v>
      </c>
      <c r="P41" s="112" t="n">
        <f aca="false">IF(D41=0,0,'W Financial Model'!AQ9-'W Financial Model'!AQ23-SUMIFS('W Program Monthly'!$J$6:$J$509,'W Program Monthly'!$C$6:$C$509,C41,'W Program Monthly'!$E$6:$E$509,"WOO IP")-K41-N41-'W Financial Model'!AQ27)</f>
        <v>395284.166666667</v>
      </c>
      <c r="Q41" s="152" t="n">
        <f aca="false">H81</f>
        <v>32540.8586155832</v>
      </c>
      <c r="R41" s="152" t="n">
        <f aca="false">N81</f>
        <v>29646.3125</v>
      </c>
      <c r="S41" s="153" t="n">
        <f aca="false">SUM(Q41:R41)</f>
        <v>62187.1711155832</v>
      </c>
      <c r="T41" s="153" t="n">
        <f aca="false">SUMIFS($M$86:$M$97,$L$86:$L$97,"&gt;="&amp;C41,$L$86:$L$97,"&lt;"&amp;EDATE(C41,1))</f>
        <v>190393.541996208</v>
      </c>
    </row>
    <row r="42" customFormat="false" ht="22.5" hidden="false" customHeight="true" outlineLevel="0" collapsed="false">
      <c r="C42" s="154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5"/>
      <c r="T42" s="155"/>
    </row>
    <row r="43" customFormat="false" ht="22.5" hidden="false" customHeight="true" outlineLevel="0" collapsed="false">
      <c r="C43" s="154"/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2"/>
      <c r="O43" s="152"/>
      <c r="P43" s="152"/>
      <c r="Q43" s="152"/>
      <c r="R43" s="152"/>
      <c r="S43" s="155"/>
      <c r="T43" s="155"/>
    </row>
    <row r="44" customFormat="false" ht="22.5" hidden="false" customHeight="true" outlineLevel="0" collapsed="false">
      <c r="C44" s="156"/>
      <c r="D44" s="152"/>
      <c r="E44" s="152"/>
      <c r="F44" s="152"/>
      <c r="G44" s="152"/>
      <c r="H44" s="152"/>
      <c r="I44" s="152"/>
      <c r="J44" s="152"/>
      <c r="K44" s="152"/>
      <c r="L44" s="152"/>
      <c r="M44" s="152"/>
      <c r="N44" s="152"/>
      <c r="O44" s="152"/>
      <c r="P44" s="152"/>
      <c r="Q44" s="152"/>
      <c r="R44" s="152"/>
      <c r="S44" s="155"/>
      <c r="T44" s="155"/>
    </row>
    <row r="45" customFormat="false" ht="39.75" hidden="false" customHeight="true" outlineLevel="0" collapsed="false">
      <c r="C45" s="157" t="s">
        <v>919</v>
      </c>
      <c r="D45" s="158" t="s">
        <v>1103</v>
      </c>
      <c r="E45" s="158" t="s">
        <v>1104</v>
      </c>
      <c r="F45" s="158" t="s">
        <v>754</v>
      </c>
      <c r="G45" s="158" t="s">
        <v>1105</v>
      </c>
      <c r="H45" s="158" t="s">
        <v>1106</v>
      </c>
      <c r="I45" s="158" t="s">
        <v>1107</v>
      </c>
      <c r="J45" s="158" t="s">
        <v>1108</v>
      </c>
      <c r="K45" s="158" t="s">
        <v>1109</v>
      </c>
      <c r="L45" s="158" t="s">
        <v>1110</v>
      </c>
      <c r="M45" s="158" t="s">
        <v>1111</v>
      </c>
      <c r="N45" s="158" t="s">
        <v>1112</v>
      </c>
      <c r="O45" s="152"/>
      <c r="P45" s="152"/>
      <c r="Q45" s="152"/>
      <c r="R45" s="152"/>
      <c r="S45" s="155"/>
      <c r="T45" s="155"/>
    </row>
    <row r="46" customFormat="false" ht="22.5" hidden="false" customHeight="true" outlineLevel="0" collapsed="false">
      <c r="C46" s="159" t="n">
        <f aca="false">C6</f>
        <v>46266</v>
      </c>
      <c r="D46" s="152" t="n">
        <f aca="false">SUM(O6)</f>
        <v>0</v>
      </c>
      <c r="E46" s="112" t="n">
        <f aca="false">'W Assumptions'!D125</f>
        <v>100</v>
      </c>
      <c r="F46" s="160" t="n">
        <f aca="false">IF(E46&lt;'W Assumptions'!$C$147,0,IF(E46&lt;'W Assumptions'!$C$148,'W Assumptions'!$D$147,'W Assumptions'!$D$148))</f>
        <v>0.05</v>
      </c>
      <c r="G46" s="152" t="n">
        <f aca="false">MAX(0,D46)*F46</f>
        <v>0</v>
      </c>
      <c r="H46" s="152" t="n">
        <f aca="false">G46</f>
        <v>0</v>
      </c>
      <c r="I46" s="152" t="n">
        <f aca="false">SUM(P6)</f>
        <v>0</v>
      </c>
      <c r="J46" s="112" t="n">
        <f aca="false">'W Assumptions'!D126</f>
        <v>100</v>
      </c>
      <c r="K46" s="160" t="n">
        <f aca="false">'W Assumptions'!D127</f>
        <v>1</v>
      </c>
      <c r="L46" s="160" t="n">
        <f aca="false">IF(AND(J46&gt;='W Assumptions'!$C$149,K46&gt;='W Assumptions'!$F$149),'W Assumptions'!$E$149,IF(AND(J46&gt;='W Assumptions'!$C$148,K46&gt;='W Assumptions'!$F$148),'W Assumptions'!$E$148,IF(J46&gt;='W Assumptions'!$C$147,'W Assumptions'!$E$147,0)))</f>
        <v>0.075</v>
      </c>
      <c r="M46" s="152" t="n">
        <f aca="false">MAX(0,I46)*L46</f>
        <v>0</v>
      </c>
      <c r="N46" s="152" t="n">
        <f aca="false">M46</f>
        <v>0</v>
      </c>
      <c r="O46" s="152"/>
      <c r="P46" s="152"/>
      <c r="Q46" s="152"/>
      <c r="R46" s="152"/>
      <c r="S46" s="155"/>
      <c r="T46" s="155"/>
    </row>
    <row r="47" customFormat="false" ht="22.5" hidden="false" customHeight="true" outlineLevel="0" collapsed="false">
      <c r="C47" s="159" t="n">
        <f aca="false">C7</f>
        <v>46296</v>
      </c>
      <c r="D47" s="152" t="n">
        <f aca="false">SUM(O6:O7)</f>
        <v>155119.414118747</v>
      </c>
      <c r="E47" s="112" t="n">
        <f aca="false">'W Assumptions'!D125</f>
        <v>100</v>
      </c>
      <c r="F47" s="160" t="n">
        <f aca="false">IF(E47&lt;'W Assumptions'!$C$147,0,IF(E47&lt;'W Assumptions'!$C$148,'W Assumptions'!$D$147,'W Assumptions'!$D$148))</f>
        <v>0.05</v>
      </c>
      <c r="G47" s="152" t="n">
        <f aca="false">MAX(0,D47)*F47</f>
        <v>7755.97070593735</v>
      </c>
      <c r="H47" s="152" t="n">
        <f aca="false">G47-G46</f>
        <v>7755.97070593735</v>
      </c>
      <c r="I47" s="152" t="n">
        <f aca="false">SUM(P6:P7)</f>
        <v>-39033.552631579</v>
      </c>
      <c r="J47" s="112" t="n">
        <f aca="false">'W Assumptions'!D126</f>
        <v>100</v>
      </c>
      <c r="K47" s="160" t="n">
        <f aca="false">'W Assumptions'!D127</f>
        <v>1</v>
      </c>
      <c r="L47" s="160" t="n">
        <f aca="false">IF(AND(J47&gt;='W Assumptions'!$C$149,K47&gt;='W Assumptions'!$F$149),'W Assumptions'!$E$149,IF(AND(J47&gt;='W Assumptions'!$C$148,K47&gt;='W Assumptions'!$F$148),'W Assumptions'!$E$148,IF(J47&gt;='W Assumptions'!$C$147,'W Assumptions'!$E$147,0)))</f>
        <v>0.075</v>
      </c>
      <c r="M47" s="152" t="n">
        <f aca="false">MAX(0,I47)*L47</f>
        <v>0</v>
      </c>
      <c r="N47" s="152" t="n">
        <f aca="false">M47-M46</f>
        <v>0</v>
      </c>
      <c r="O47" s="152"/>
      <c r="P47" s="152"/>
      <c r="Q47" s="152"/>
      <c r="R47" s="152"/>
      <c r="S47" s="155"/>
      <c r="T47" s="155"/>
    </row>
    <row r="48" customFormat="false" ht="22.5" hidden="false" customHeight="true" outlineLevel="0" collapsed="false">
      <c r="C48" s="159" t="n">
        <f aca="false">C8</f>
        <v>46327</v>
      </c>
      <c r="D48" s="152" t="n">
        <f aca="false">SUM(O6:O8)</f>
        <v>227537.419915849</v>
      </c>
      <c r="E48" s="112" t="n">
        <f aca="false">'W Assumptions'!D125</f>
        <v>100</v>
      </c>
      <c r="F48" s="160" t="n">
        <f aca="false">IF(E48&lt;'W Assumptions'!$C$147,0,IF(E48&lt;'W Assumptions'!$C$148,'W Assumptions'!$D$147,'W Assumptions'!$D$148))</f>
        <v>0.05</v>
      </c>
      <c r="G48" s="152" t="n">
        <f aca="false">MAX(0,D48)*F48</f>
        <v>11376.8709957924</v>
      </c>
      <c r="H48" s="152" t="n">
        <f aca="false">G48-G47</f>
        <v>3620.90028985507</v>
      </c>
      <c r="I48" s="152" t="n">
        <f aca="false">SUM(P6:P8)</f>
        <v>-5260.65789473684</v>
      </c>
      <c r="J48" s="112" t="n">
        <f aca="false">'W Assumptions'!D126</f>
        <v>100</v>
      </c>
      <c r="K48" s="160" t="n">
        <f aca="false">'W Assumptions'!D127</f>
        <v>1</v>
      </c>
      <c r="L48" s="160" t="n">
        <f aca="false">IF(AND(J48&gt;='W Assumptions'!$C$149,K48&gt;='W Assumptions'!$F$149),'W Assumptions'!$E$149,IF(AND(J48&gt;='W Assumptions'!$C$148,K48&gt;='W Assumptions'!$F$148),'W Assumptions'!$E$148,IF(J48&gt;='W Assumptions'!$C$147,'W Assumptions'!$E$147,0)))</f>
        <v>0.075</v>
      </c>
      <c r="M48" s="152" t="n">
        <f aca="false">MAX(0,I48)*L48</f>
        <v>0</v>
      </c>
      <c r="N48" s="152" t="n">
        <f aca="false">M48-M47</f>
        <v>0</v>
      </c>
      <c r="O48" s="152"/>
      <c r="P48" s="152"/>
      <c r="Q48" s="152"/>
      <c r="R48" s="152"/>
      <c r="S48" s="155"/>
      <c r="T48" s="155"/>
    </row>
    <row r="49" customFormat="false" ht="22.5" hidden="false" customHeight="true" outlineLevel="0" collapsed="false">
      <c r="C49" s="159" t="n">
        <f aca="false">C9</f>
        <v>46357</v>
      </c>
      <c r="D49" s="152" t="n">
        <f aca="false">SUM(O6:O9)</f>
        <v>660960.353249182</v>
      </c>
      <c r="E49" s="112" t="n">
        <f aca="false">'W Assumptions'!D125</f>
        <v>100</v>
      </c>
      <c r="F49" s="160" t="n">
        <f aca="false">IF(E49&lt;'W Assumptions'!$C$147,0,IF(E49&lt;'W Assumptions'!$C$148,'W Assumptions'!$D$147,'W Assumptions'!$D$148))</f>
        <v>0.05</v>
      </c>
      <c r="G49" s="152" t="n">
        <f aca="false">MAX(0,D49)*F49</f>
        <v>33048.0176624591</v>
      </c>
      <c r="H49" s="152" t="n">
        <f aca="false">G49-G48</f>
        <v>21671.1466666667</v>
      </c>
      <c r="I49" s="152" t="n">
        <f aca="false">SUM(P6:P9)</f>
        <v>51318.6842105263</v>
      </c>
      <c r="J49" s="112" t="n">
        <f aca="false">'W Assumptions'!D126</f>
        <v>100</v>
      </c>
      <c r="K49" s="160" t="n">
        <f aca="false">'W Assumptions'!D127</f>
        <v>1</v>
      </c>
      <c r="L49" s="160" t="n">
        <f aca="false">IF(AND(J49&gt;='W Assumptions'!$C$149,K49&gt;='W Assumptions'!$F$149),'W Assumptions'!$E$149,IF(AND(J49&gt;='W Assumptions'!$C$148,K49&gt;='W Assumptions'!$F$148),'W Assumptions'!$E$148,IF(J49&gt;='W Assumptions'!$C$147,'W Assumptions'!$E$147,0)))</f>
        <v>0.075</v>
      </c>
      <c r="M49" s="152" t="n">
        <f aca="false">MAX(0,I49)*L49</f>
        <v>3848.90131578948</v>
      </c>
      <c r="N49" s="152" t="n">
        <f aca="false">M49-M48</f>
        <v>3848.90131578948</v>
      </c>
      <c r="O49" s="152"/>
      <c r="P49" s="152"/>
      <c r="Q49" s="152"/>
      <c r="R49" s="152"/>
      <c r="S49" s="155"/>
      <c r="T49" s="155"/>
    </row>
    <row r="50" customFormat="false" ht="22.5" hidden="false" customHeight="true" outlineLevel="0" collapsed="false">
      <c r="C50" s="161" t="n">
        <f aca="false">C10</f>
        <v>46388</v>
      </c>
      <c r="D50" s="152" t="n">
        <f aca="false">SUM(O6:O10)</f>
        <v>934685.817017298</v>
      </c>
      <c r="E50" s="112" t="n">
        <f aca="false">'W Assumptions'!D125</f>
        <v>100</v>
      </c>
      <c r="F50" s="160" t="n">
        <f aca="false">IF(E50&lt;'W Assumptions'!$C$147,0,IF(E50&lt;'W Assumptions'!$C$148,'W Assumptions'!$D$147,'W Assumptions'!$D$148))</f>
        <v>0.05</v>
      </c>
      <c r="G50" s="152" t="n">
        <f aca="false">MAX(0,D50)*F50</f>
        <v>46734.2908508649</v>
      </c>
      <c r="H50" s="152" t="n">
        <f aca="false">G50-G49</f>
        <v>13686.2731884058</v>
      </c>
      <c r="I50" s="152" t="n">
        <f aca="false">SUM(P6:P10)</f>
        <v>130704.473684211</v>
      </c>
      <c r="J50" s="112" t="n">
        <f aca="false">'W Assumptions'!D126</f>
        <v>100</v>
      </c>
      <c r="K50" s="160" t="n">
        <f aca="false">'W Assumptions'!D127</f>
        <v>1</v>
      </c>
      <c r="L50" s="160" t="n">
        <f aca="false">IF(AND(J50&gt;='W Assumptions'!$C$149,K50&gt;='W Assumptions'!$F$149),'W Assumptions'!$E$149,IF(AND(J50&gt;='W Assumptions'!$C$148,K50&gt;='W Assumptions'!$F$148),'W Assumptions'!$E$148,IF(J50&gt;='W Assumptions'!$C$147,'W Assumptions'!$E$147,0)))</f>
        <v>0.075</v>
      </c>
      <c r="M50" s="152" t="n">
        <f aca="false">MAX(0,I50)*L50</f>
        <v>9802.83552631579</v>
      </c>
      <c r="N50" s="152" t="n">
        <f aca="false">M50-M49</f>
        <v>5953.93421052632</v>
      </c>
      <c r="O50" s="152"/>
      <c r="P50" s="152"/>
      <c r="Q50" s="152"/>
      <c r="R50" s="152"/>
      <c r="S50" s="155"/>
      <c r="T50" s="155"/>
    </row>
    <row r="51" customFormat="false" ht="22.5" hidden="false" customHeight="true" outlineLevel="0" collapsed="false">
      <c r="C51" s="162" t="n">
        <f aca="false">C11</f>
        <v>46419</v>
      </c>
      <c r="D51" s="153" t="n">
        <f aca="false">SUM(O6:O11)</f>
        <v>1178554.79010218</v>
      </c>
      <c r="E51" s="163" t="n">
        <f aca="false">'W Assumptions'!D125</f>
        <v>100</v>
      </c>
      <c r="F51" s="164" t="n">
        <f aca="false">IF(E51&lt;'W Assumptions'!$C$147,0,IF(E51&lt;'W Assumptions'!$C$148,'W Assumptions'!$D$147,'W Assumptions'!$D$148))</f>
        <v>0.05</v>
      </c>
      <c r="G51" s="153" t="n">
        <f aca="false">MAX(0,D51)*F51</f>
        <v>58927.7395051092</v>
      </c>
      <c r="H51" s="153" t="n">
        <f aca="false">G51-G50</f>
        <v>12193.4486542443</v>
      </c>
      <c r="I51" s="153" t="n">
        <f aca="false">SUM(P6:P11)</f>
        <v>210090.263157895</v>
      </c>
      <c r="J51" s="163" t="n">
        <f aca="false">'W Assumptions'!D126</f>
        <v>100</v>
      </c>
      <c r="K51" s="164" t="n">
        <f aca="false">'W Assumptions'!D127</f>
        <v>1</v>
      </c>
      <c r="L51" s="164" t="n">
        <f aca="false">IF(AND(J51&gt;='W Assumptions'!$C$149,K51&gt;='W Assumptions'!$F$149),'W Assumptions'!$E$149,IF(AND(J51&gt;='W Assumptions'!$C$148,K51&gt;='W Assumptions'!$F$148),'W Assumptions'!$E$148,IF(J51&gt;='W Assumptions'!$C$147,'W Assumptions'!$E$147,0)))</f>
        <v>0.075</v>
      </c>
      <c r="M51" s="153" t="n">
        <f aca="false">MAX(0,I51)*L51</f>
        <v>15756.7697368421</v>
      </c>
      <c r="N51" s="153" t="n">
        <f aca="false">M51-M50</f>
        <v>5953.93421052632</v>
      </c>
      <c r="O51" s="155"/>
      <c r="P51" s="155"/>
      <c r="Q51" s="155"/>
      <c r="R51" s="155"/>
      <c r="S51" s="155"/>
      <c r="T51" s="155"/>
    </row>
    <row r="52" customFormat="false" ht="22.5" hidden="false" customHeight="true" outlineLevel="0" collapsed="false">
      <c r="C52" s="162" t="n">
        <f aca="false">C12</f>
        <v>46447</v>
      </c>
      <c r="D52" s="153" t="n">
        <f aca="false">SUM(O6:O12)</f>
        <v>1723762.38430508</v>
      </c>
      <c r="E52" s="163" t="n">
        <f aca="false">'W Assumptions'!D125</f>
        <v>100</v>
      </c>
      <c r="F52" s="164" t="n">
        <f aca="false">IF(E52&lt;'W Assumptions'!$C$147,0,IF(E52&lt;'W Assumptions'!$C$148,'W Assumptions'!$D$147,'W Assumptions'!$D$148))</f>
        <v>0.05</v>
      </c>
      <c r="G52" s="153" t="n">
        <f aca="false">MAX(0,D52)*F52</f>
        <v>86188.1192152542</v>
      </c>
      <c r="H52" s="153" t="n">
        <f aca="false">G52-G51</f>
        <v>27260.379710145</v>
      </c>
      <c r="I52" s="153" t="n">
        <f aca="false">SUM(P6:P12)</f>
        <v>289476.052631579</v>
      </c>
      <c r="J52" s="163" t="n">
        <f aca="false">'W Assumptions'!D126</f>
        <v>100</v>
      </c>
      <c r="K52" s="164" t="n">
        <f aca="false">'W Assumptions'!D127</f>
        <v>1</v>
      </c>
      <c r="L52" s="164" t="n">
        <f aca="false">IF(AND(J52&gt;='W Assumptions'!$C$149,K52&gt;='W Assumptions'!$F$149),'W Assumptions'!$E$149,IF(AND(J52&gt;='W Assumptions'!$C$148,K52&gt;='W Assumptions'!$F$148),'W Assumptions'!$E$148,IF(J52&gt;='W Assumptions'!$C$147,'W Assumptions'!$E$147,0)))</f>
        <v>0.075</v>
      </c>
      <c r="M52" s="153" t="n">
        <f aca="false">MAX(0,I52)*L52</f>
        <v>21710.7039473684</v>
      </c>
      <c r="N52" s="153" t="n">
        <f aca="false">M52-M51</f>
        <v>5953.93421052632</v>
      </c>
      <c r="O52" s="155"/>
      <c r="P52" s="155"/>
      <c r="Q52" s="155"/>
      <c r="R52" s="155"/>
      <c r="S52" s="155"/>
      <c r="T52" s="155"/>
    </row>
    <row r="53" customFormat="false" ht="22.5" hidden="false" customHeight="true" outlineLevel="0" collapsed="false">
      <c r="C53" s="162" t="n">
        <f aca="false">C13</f>
        <v>46478</v>
      </c>
      <c r="D53" s="153" t="n">
        <f aca="false">SUM(O6:O13)</f>
        <v>2264314.45676885</v>
      </c>
      <c r="E53" s="163" t="n">
        <f aca="false">'W Assumptions'!D125</f>
        <v>100</v>
      </c>
      <c r="F53" s="164" t="n">
        <f aca="false">IF(E53&lt;'W Assumptions'!$C$147,0,IF(E53&lt;'W Assumptions'!$C$148,'W Assumptions'!$D$147,'W Assumptions'!$D$148))</f>
        <v>0.05</v>
      </c>
      <c r="G53" s="153" t="n">
        <f aca="false">MAX(0,D53)*F53</f>
        <v>113215.722838443</v>
      </c>
      <c r="H53" s="153" t="n">
        <f aca="false">G53-G52</f>
        <v>27027.6036231884</v>
      </c>
      <c r="I53" s="153" t="n">
        <f aca="false">SUM(P6:P13)</f>
        <v>368861.842105263</v>
      </c>
      <c r="J53" s="163" t="n">
        <f aca="false">'W Assumptions'!D126</f>
        <v>100</v>
      </c>
      <c r="K53" s="164" t="n">
        <f aca="false">'W Assumptions'!D127</f>
        <v>1</v>
      </c>
      <c r="L53" s="164" t="n">
        <f aca="false">IF(AND(J53&gt;='W Assumptions'!$C$149,K53&gt;='W Assumptions'!$F$149),'W Assumptions'!$E$149,IF(AND(J53&gt;='W Assumptions'!$C$148,K53&gt;='W Assumptions'!$F$148),'W Assumptions'!$E$148,IF(J53&gt;='W Assumptions'!$C$147,'W Assumptions'!$E$147,0)))</f>
        <v>0.075</v>
      </c>
      <c r="M53" s="153" t="n">
        <f aca="false">MAX(0,I53)*L53</f>
        <v>27664.6381578947</v>
      </c>
      <c r="N53" s="153" t="n">
        <f aca="false">M53-M52</f>
        <v>5953.93421052632</v>
      </c>
      <c r="O53" s="155"/>
      <c r="P53" s="155"/>
      <c r="Q53" s="155"/>
      <c r="R53" s="155"/>
      <c r="S53" s="155"/>
      <c r="T53" s="155"/>
    </row>
    <row r="54" customFormat="false" ht="22.5" hidden="false" customHeight="true" outlineLevel="0" collapsed="false">
      <c r="C54" s="162" t="n">
        <f aca="false">C14</f>
        <v>46508</v>
      </c>
      <c r="D54" s="153" t="n">
        <f aca="false">SUM(O6:O14)</f>
        <v>2615670.39879784</v>
      </c>
      <c r="E54" s="163" t="n">
        <f aca="false">'W Assumptions'!D125</f>
        <v>100</v>
      </c>
      <c r="F54" s="164" t="n">
        <f aca="false">IF(E54&lt;'W Assumptions'!$C$147,0,IF(E54&lt;'W Assumptions'!$C$148,'W Assumptions'!$D$147,'W Assumptions'!$D$148))</f>
        <v>0.05</v>
      </c>
      <c r="G54" s="153" t="n">
        <f aca="false">MAX(0,D54)*F54</f>
        <v>130783.519939892</v>
      </c>
      <c r="H54" s="153" t="n">
        <f aca="false">G54-G53</f>
        <v>17567.7971014493</v>
      </c>
      <c r="I54" s="153" t="n">
        <f aca="false">SUM(P6:P14)</f>
        <v>448247.631578947</v>
      </c>
      <c r="J54" s="163" t="n">
        <f aca="false">'W Assumptions'!D126</f>
        <v>100</v>
      </c>
      <c r="K54" s="164" t="n">
        <f aca="false">'W Assumptions'!D127</f>
        <v>1</v>
      </c>
      <c r="L54" s="164" t="n">
        <f aca="false">IF(AND(J54&gt;='W Assumptions'!$C$149,K54&gt;='W Assumptions'!$F$149),'W Assumptions'!$E$149,IF(AND(J54&gt;='W Assumptions'!$C$148,K54&gt;='W Assumptions'!$F$148),'W Assumptions'!$E$148,IF(J54&gt;='W Assumptions'!$C$147,'W Assumptions'!$E$147,0)))</f>
        <v>0.075</v>
      </c>
      <c r="M54" s="153" t="n">
        <f aca="false">MAX(0,I54)*L54</f>
        <v>33618.5723684211</v>
      </c>
      <c r="N54" s="153" t="n">
        <f aca="false">M54-M53</f>
        <v>5953.93421052631</v>
      </c>
      <c r="O54" s="155"/>
      <c r="P54" s="155"/>
      <c r="Q54" s="155"/>
      <c r="R54" s="155"/>
      <c r="S54" s="155"/>
      <c r="T54" s="155"/>
    </row>
    <row r="55" customFormat="false" ht="22.5" hidden="false" customHeight="true" outlineLevel="0" collapsed="false">
      <c r="C55" s="162" t="n">
        <f aca="false">C15</f>
        <v>46539</v>
      </c>
      <c r="D55" s="153" t="n">
        <f aca="false">SUM(O6:O15)</f>
        <v>2982991.81908769</v>
      </c>
      <c r="E55" s="163" t="n">
        <f aca="false">'W Assumptions'!D125</f>
        <v>100</v>
      </c>
      <c r="F55" s="164" t="n">
        <f aca="false">IF(E55&lt;'W Assumptions'!$C$147,0,IF(E55&lt;'W Assumptions'!$C$148,'W Assumptions'!$D$147,'W Assumptions'!$D$148))</f>
        <v>0.05</v>
      </c>
      <c r="G55" s="153" t="n">
        <f aca="false">MAX(0,D55)*F55</f>
        <v>149149.590954385</v>
      </c>
      <c r="H55" s="153" t="n">
        <f aca="false">G55-G54</f>
        <v>18366.0710144928</v>
      </c>
      <c r="I55" s="153" t="n">
        <f aca="false">SUM(P6:P15)</f>
        <v>527633.421052632</v>
      </c>
      <c r="J55" s="163" t="n">
        <f aca="false">'W Assumptions'!D126</f>
        <v>100</v>
      </c>
      <c r="K55" s="164" t="n">
        <f aca="false">'W Assumptions'!D127</f>
        <v>1</v>
      </c>
      <c r="L55" s="164" t="n">
        <f aca="false">IF(AND(J55&gt;='W Assumptions'!$C$149,K55&gt;='W Assumptions'!$F$149),'W Assumptions'!$E$149,IF(AND(J55&gt;='W Assumptions'!$C$148,K55&gt;='W Assumptions'!$F$148),'W Assumptions'!$E$148,IF(J55&gt;='W Assumptions'!$C$147,'W Assumptions'!$E$147,0)))</f>
        <v>0.075</v>
      </c>
      <c r="M55" s="153" t="n">
        <f aca="false">MAX(0,I55)*L55</f>
        <v>39572.5065789474</v>
      </c>
      <c r="N55" s="153" t="n">
        <f aca="false">M55-M54</f>
        <v>5953.93421052632</v>
      </c>
      <c r="O55" s="155"/>
      <c r="P55" s="155"/>
      <c r="Q55" s="155"/>
      <c r="R55" s="155"/>
      <c r="S55" s="155"/>
      <c r="T55" s="155"/>
    </row>
    <row r="56" customFormat="false" ht="22.5" hidden="false" customHeight="true" outlineLevel="0" collapsed="false">
      <c r="C56" s="162" t="n">
        <f aca="false">C16</f>
        <v>46569</v>
      </c>
      <c r="D56" s="153" t="n">
        <f aca="false">SUM(O6:O16)</f>
        <v>3449933.23937755</v>
      </c>
      <c r="E56" s="163" t="n">
        <f aca="false">'W Assumptions'!D125</f>
        <v>100</v>
      </c>
      <c r="F56" s="164" t="n">
        <f aca="false">IF(E56&lt;'W Assumptions'!$C$147,0,IF(E56&lt;'W Assumptions'!$C$148,'W Assumptions'!$D$147,'W Assumptions'!$D$148))</f>
        <v>0.05</v>
      </c>
      <c r="G56" s="153" t="n">
        <f aca="false">MAX(0,D56)*F56</f>
        <v>172496.661968877</v>
      </c>
      <c r="H56" s="153" t="n">
        <f aca="false">G56-G55</f>
        <v>23347.0710144928</v>
      </c>
      <c r="I56" s="153" t="n">
        <f aca="false">SUM(P6:P16)</f>
        <v>607019.210526316</v>
      </c>
      <c r="J56" s="163" t="n">
        <f aca="false">'W Assumptions'!D126</f>
        <v>100</v>
      </c>
      <c r="K56" s="164" t="n">
        <f aca="false">'W Assumptions'!D127</f>
        <v>1</v>
      </c>
      <c r="L56" s="164" t="n">
        <f aca="false">IF(AND(J56&gt;='W Assumptions'!$C$149,K56&gt;='W Assumptions'!$F$149),'W Assumptions'!$E$149,IF(AND(J56&gt;='W Assumptions'!$C$148,K56&gt;='W Assumptions'!$F$148),'W Assumptions'!$E$148,IF(J56&gt;='W Assumptions'!$C$147,'W Assumptions'!$E$147,0)))</f>
        <v>0.075</v>
      </c>
      <c r="M56" s="153" t="n">
        <f aca="false">MAX(0,I56)*L56</f>
        <v>45526.4407894737</v>
      </c>
      <c r="N56" s="153" t="n">
        <f aca="false">M56-M55</f>
        <v>5953.93421052631</v>
      </c>
      <c r="O56" s="155"/>
      <c r="P56" s="155"/>
      <c r="Q56" s="155"/>
      <c r="R56" s="155"/>
      <c r="S56" s="155"/>
      <c r="T56" s="155"/>
    </row>
    <row r="57" customFormat="false" ht="22.5" hidden="false" customHeight="true" outlineLevel="0" collapsed="false">
      <c r="C57" s="162" t="n">
        <f aca="false">C17</f>
        <v>46600</v>
      </c>
      <c r="D57" s="153" t="n">
        <f aca="false">SUM(O6:O17)</f>
        <v>3931236.92053697</v>
      </c>
      <c r="E57" s="163" t="n">
        <f aca="false">'W Assumptions'!D125</f>
        <v>100</v>
      </c>
      <c r="F57" s="164" t="n">
        <f aca="false">IF(E57&lt;'W Assumptions'!$C$147,0,IF(E57&lt;'W Assumptions'!$C$148,'W Assumptions'!$D$147,'W Assumptions'!$D$148))</f>
        <v>0.05</v>
      </c>
      <c r="G57" s="153" t="n">
        <f aca="false">MAX(0,D57)*F57</f>
        <v>196561.846026848</v>
      </c>
      <c r="H57" s="153" t="n">
        <f aca="false">G57-G56</f>
        <v>24065.184057971</v>
      </c>
      <c r="I57" s="153" t="n">
        <f aca="false">SUM(P6:P17)</f>
        <v>686405</v>
      </c>
      <c r="J57" s="163" t="n">
        <f aca="false">'W Assumptions'!D126</f>
        <v>100</v>
      </c>
      <c r="K57" s="164" t="n">
        <f aca="false">'W Assumptions'!D127</f>
        <v>1</v>
      </c>
      <c r="L57" s="164" t="n">
        <f aca="false">IF(AND(J57&gt;='W Assumptions'!$C$149,K57&gt;='W Assumptions'!$F$149),'W Assumptions'!$E$149,IF(AND(J57&gt;='W Assumptions'!$C$148,K57&gt;='W Assumptions'!$F$148),'W Assumptions'!$E$148,IF(J57&gt;='W Assumptions'!$C$147,'W Assumptions'!$E$147,0)))</f>
        <v>0.075</v>
      </c>
      <c r="M57" s="153" t="n">
        <f aca="false">MAX(0,I57)*L57</f>
        <v>51480.375</v>
      </c>
      <c r="N57" s="153" t="n">
        <f aca="false">M57-M56</f>
        <v>5953.93421052632</v>
      </c>
      <c r="O57" s="155"/>
      <c r="P57" s="155"/>
      <c r="Q57" s="155"/>
      <c r="R57" s="155"/>
      <c r="S57" s="155"/>
      <c r="T57" s="155"/>
    </row>
    <row r="58" customFormat="false" ht="22.5" hidden="false" customHeight="true" outlineLevel="0" collapsed="false">
      <c r="C58" s="162" t="n">
        <f aca="false">C18</f>
        <v>46631</v>
      </c>
      <c r="D58" s="153" t="n">
        <f aca="false">SUM(O18)</f>
        <v>435887.148985507</v>
      </c>
      <c r="E58" s="163" t="n">
        <f aca="false">'W Assumptions'!E125</f>
        <v>100</v>
      </c>
      <c r="F58" s="164" t="n">
        <f aca="false">IF(E58&lt;'W Assumptions'!$C$147,0,IF(E58&lt;'W Assumptions'!$C$148,'W Assumptions'!$D$147,'W Assumptions'!$D$148))</f>
        <v>0.05</v>
      </c>
      <c r="G58" s="153" t="n">
        <f aca="false">MAX(0,D58)*F58</f>
        <v>21794.3574492754</v>
      </c>
      <c r="H58" s="153" t="n">
        <f aca="false">G58</f>
        <v>21794.3574492754</v>
      </c>
      <c r="I58" s="153" t="n">
        <f aca="false">SUM(P18)</f>
        <v>191085</v>
      </c>
      <c r="J58" s="163" t="n">
        <f aca="false">'W Assumptions'!E126</f>
        <v>100</v>
      </c>
      <c r="K58" s="164" t="n">
        <f aca="false">'W Assumptions'!E127</f>
        <v>1</v>
      </c>
      <c r="L58" s="164" t="n">
        <f aca="false">IF(AND(J58&gt;='W Assumptions'!$C$149,K58&gt;='W Assumptions'!$F$149),'W Assumptions'!$E$149,IF(AND(J58&gt;='W Assumptions'!$C$148,K58&gt;='W Assumptions'!$F$148),'W Assumptions'!$E$148,IF(J58&gt;='W Assumptions'!$C$147,'W Assumptions'!$E$147,0)))</f>
        <v>0.075</v>
      </c>
      <c r="M58" s="153" t="n">
        <f aca="false">MAX(0,I58)*L58</f>
        <v>14331.375</v>
      </c>
      <c r="N58" s="153" t="n">
        <f aca="false">M58</f>
        <v>14331.375</v>
      </c>
      <c r="O58" s="155"/>
      <c r="P58" s="155"/>
      <c r="Q58" s="155"/>
      <c r="R58" s="155"/>
      <c r="S58" s="155"/>
      <c r="T58" s="155"/>
    </row>
    <row r="59" customFormat="false" ht="22.5" hidden="false" customHeight="true" outlineLevel="0" collapsed="false">
      <c r="C59" s="162" t="n">
        <f aca="false">C19</f>
        <v>46661</v>
      </c>
      <c r="D59" s="153" t="n">
        <f aca="false">SUM(O18:O19)</f>
        <v>1069424.16375362</v>
      </c>
      <c r="E59" s="163" t="n">
        <f aca="false">'W Assumptions'!E125</f>
        <v>100</v>
      </c>
      <c r="F59" s="164" t="n">
        <f aca="false">IF(E59&lt;'W Assumptions'!$C$147,0,IF(E59&lt;'W Assumptions'!$C$148,'W Assumptions'!$D$147,'W Assumptions'!$D$148))</f>
        <v>0.05</v>
      </c>
      <c r="G59" s="153" t="n">
        <f aca="false">MAX(0,D59)*F59</f>
        <v>53471.2081876812</v>
      </c>
      <c r="H59" s="153" t="n">
        <f aca="false">G59-G58</f>
        <v>31676.8507384058</v>
      </c>
      <c r="I59" s="153" t="n">
        <f aca="false">SUM(P18:P19)</f>
        <v>382170</v>
      </c>
      <c r="J59" s="163" t="n">
        <f aca="false">'W Assumptions'!E126</f>
        <v>100</v>
      </c>
      <c r="K59" s="164" t="n">
        <f aca="false">'W Assumptions'!E127</f>
        <v>1</v>
      </c>
      <c r="L59" s="164" t="n">
        <f aca="false">IF(AND(J59&gt;='W Assumptions'!$C$149,K59&gt;='W Assumptions'!$F$149),'W Assumptions'!$E$149,IF(AND(J59&gt;='W Assumptions'!$C$148,K59&gt;='W Assumptions'!$F$148),'W Assumptions'!$E$148,IF(J59&gt;='W Assumptions'!$C$147,'W Assumptions'!$E$147,0)))</f>
        <v>0.075</v>
      </c>
      <c r="M59" s="153" t="n">
        <f aca="false">MAX(0,I59)*L59</f>
        <v>28662.75</v>
      </c>
      <c r="N59" s="153" t="n">
        <f aca="false">M59-M58</f>
        <v>14331.375</v>
      </c>
      <c r="O59" s="155"/>
      <c r="P59" s="155"/>
      <c r="Q59" s="155"/>
      <c r="R59" s="155"/>
      <c r="S59" s="155"/>
      <c r="T59" s="155"/>
    </row>
    <row r="60" customFormat="false" ht="22.5" hidden="false" customHeight="true" outlineLevel="0" collapsed="false">
      <c r="C60" s="162" t="n">
        <f aca="false">C20</f>
        <v>46692</v>
      </c>
      <c r="D60" s="153" t="n">
        <f aca="false">SUM(O18:O20)</f>
        <v>1636618.04430435</v>
      </c>
      <c r="E60" s="163" t="n">
        <f aca="false">'W Assumptions'!E125</f>
        <v>100</v>
      </c>
      <c r="F60" s="164" t="n">
        <f aca="false">IF(E60&lt;'W Assumptions'!$C$147,0,IF(E60&lt;'W Assumptions'!$C$148,'W Assumptions'!$D$147,'W Assumptions'!$D$148))</f>
        <v>0.05</v>
      </c>
      <c r="G60" s="153" t="n">
        <f aca="false">MAX(0,D60)*F60</f>
        <v>81830.9022152174</v>
      </c>
      <c r="H60" s="153" t="n">
        <f aca="false">G60-G59</f>
        <v>28359.6940275362</v>
      </c>
      <c r="I60" s="153" t="n">
        <f aca="false">SUM(P18:P20)</f>
        <v>573255</v>
      </c>
      <c r="J60" s="163" t="n">
        <f aca="false">'W Assumptions'!E126</f>
        <v>100</v>
      </c>
      <c r="K60" s="164" t="n">
        <f aca="false">'W Assumptions'!E127</f>
        <v>1</v>
      </c>
      <c r="L60" s="164" t="n">
        <f aca="false">IF(AND(J60&gt;='W Assumptions'!$C$149,K60&gt;='W Assumptions'!$F$149),'W Assumptions'!$E$149,IF(AND(J60&gt;='W Assumptions'!$C$148,K60&gt;='W Assumptions'!$F$148),'W Assumptions'!$E$148,IF(J60&gt;='W Assumptions'!$C$147,'W Assumptions'!$E$147,0)))</f>
        <v>0.075</v>
      </c>
      <c r="M60" s="153" t="n">
        <f aca="false">MAX(0,I60)*L60</f>
        <v>42994.125</v>
      </c>
      <c r="N60" s="153" t="n">
        <f aca="false">M60-M59</f>
        <v>14331.375</v>
      </c>
      <c r="O60" s="155"/>
      <c r="P60" s="155"/>
      <c r="Q60" s="155"/>
      <c r="R60" s="155"/>
      <c r="S60" s="155"/>
      <c r="T60" s="155"/>
    </row>
    <row r="61" customFormat="false" ht="22.5" hidden="false" customHeight="true" outlineLevel="0" collapsed="false">
      <c r="C61" s="162" t="n">
        <f aca="false">C21</f>
        <v>46722</v>
      </c>
      <c r="D61" s="153" t="n">
        <f aca="false">SUM(O18:O21)</f>
        <v>2559857.59063768</v>
      </c>
      <c r="E61" s="163" t="n">
        <f aca="false">'W Assumptions'!E125</f>
        <v>100</v>
      </c>
      <c r="F61" s="164" t="n">
        <f aca="false">IF(E61&lt;'W Assumptions'!$C$147,0,IF(E61&lt;'W Assumptions'!$C$148,'W Assumptions'!$D$147,'W Assumptions'!$D$148))</f>
        <v>0.05</v>
      </c>
      <c r="G61" s="153" t="n">
        <f aca="false">MAX(0,D61)*F61</f>
        <v>127992.879531884</v>
      </c>
      <c r="H61" s="153" t="n">
        <f aca="false">G61-G60</f>
        <v>46161.9773166667</v>
      </c>
      <c r="I61" s="153" t="n">
        <f aca="false">SUM(P18:P21)</f>
        <v>764340</v>
      </c>
      <c r="J61" s="163" t="n">
        <f aca="false">'W Assumptions'!E126</f>
        <v>100</v>
      </c>
      <c r="K61" s="164" t="n">
        <f aca="false">'W Assumptions'!E127</f>
        <v>1</v>
      </c>
      <c r="L61" s="164" t="n">
        <f aca="false">IF(AND(J61&gt;='W Assumptions'!$C$149,K61&gt;='W Assumptions'!$F$149),'W Assumptions'!$E$149,IF(AND(J61&gt;='W Assumptions'!$C$148,K61&gt;='W Assumptions'!$F$148),'W Assumptions'!$E$148,IF(J61&gt;='W Assumptions'!$C$147,'W Assumptions'!$E$147,0)))</f>
        <v>0.075</v>
      </c>
      <c r="M61" s="153" t="n">
        <f aca="false">MAX(0,I61)*L61</f>
        <v>57325.5</v>
      </c>
      <c r="N61" s="153" t="n">
        <f aca="false">M61-M60</f>
        <v>14331.375</v>
      </c>
      <c r="O61" s="155"/>
      <c r="P61" s="155"/>
      <c r="Q61" s="155"/>
      <c r="R61" s="155"/>
      <c r="S61" s="155"/>
      <c r="T61" s="155"/>
    </row>
    <row r="62" customFormat="false" ht="22.5" hidden="false" customHeight="true" outlineLevel="0" collapsed="false">
      <c r="C62" s="162" t="n">
        <f aca="false">C22</f>
        <v>46753</v>
      </c>
      <c r="D62" s="153" t="n">
        <f aca="false">SUM(O18:O22)</f>
        <v>3193394.6054058</v>
      </c>
      <c r="E62" s="163" t="n">
        <f aca="false">'W Assumptions'!E125</f>
        <v>100</v>
      </c>
      <c r="F62" s="164" t="n">
        <f aca="false">IF(E62&lt;'W Assumptions'!$C$147,0,IF(E62&lt;'W Assumptions'!$C$148,'W Assumptions'!$D$147,'W Assumptions'!$D$148))</f>
        <v>0.05</v>
      </c>
      <c r="G62" s="153" t="n">
        <f aca="false">MAX(0,D62)*F62</f>
        <v>159669.73027029</v>
      </c>
      <c r="H62" s="153" t="n">
        <f aca="false">G62-G61</f>
        <v>31676.8507384058</v>
      </c>
      <c r="I62" s="153" t="n">
        <f aca="false">SUM(P18:P22)</f>
        <v>955425</v>
      </c>
      <c r="J62" s="163" t="n">
        <f aca="false">'W Assumptions'!E126</f>
        <v>100</v>
      </c>
      <c r="K62" s="164" t="n">
        <f aca="false">'W Assumptions'!E127</f>
        <v>1</v>
      </c>
      <c r="L62" s="164" t="n">
        <f aca="false">IF(AND(J62&gt;='W Assumptions'!$C$149,K62&gt;='W Assumptions'!$F$149),'W Assumptions'!$E$149,IF(AND(J62&gt;='W Assumptions'!$C$148,K62&gt;='W Assumptions'!$F$148),'W Assumptions'!$E$148,IF(J62&gt;='W Assumptions'!$C$147,'W Assumptions'!$E$147,0)))</f>
        <v>0.075</v>
      </c>
      <c r="M62" s="153" t="n">
        <f aca="false">MAX(0,I62)*L62</f>
        <v>71656.875</v>
      </c>
      <c r="N62" s="153" t="n">
        <f aca="false">M62-M61</f>
        <v>14331.375</v>
      </c>
      <c r="O62" s="155"/>
      <c r="P62" s="155"/>
      <c r="Q62" s="155"/>
      <c r="R62" s="155"/>
      <c r="S62" s="155"/>
      <c r="T62" s="155"/>
    </row>
    <row r="63" customFormat="false" ht="22.5" hidden="false" customHeight="true" outlineLevel="0" collapsed="false">
      <c r="C63" s="162" t="n">
        <f aca="false">C23</f>
        <v>46784</v>
      </c>
      <c r="D63" s="153" t="n">
        <f aca="false">SUM(O18:O23)</f>
        <v>3629281.75439131</v>
      </c>
      <c r="E63" s="163" t="n">
        <f aca="false">'W Assumptions'!E125</f>
        <v>100</v>
      </c>
      <c r="F63" s="164" t="n">
        <f aca="false">IF(E63&lt;'W Assumptions'!$C$147,0,IF(E63&lt;'W Assumptions'!$C$148,'W Assumptions'!$D$147,'W Assumptions'!$D$148))</f>
        <v>0.05</v>
      </c>
      <c r="G63" s="153" t="n">
        <f aca="false">MAX(0,D63)*F63</f>
        <v>181464.087719565</v>
      </c>
      <c r="H63" s="153" t="n">
        <f aca="false">G63-G62</f>
        <v>21794.3574492754</v>
      </c>
      <c r="I63" s="153" t="n">
        <f aca="false">SUM(P18:P23)</f>
        <v>1146510</v>
      </c>
      <c r="J63" s="163" t="n">
        <f aca="false">'W Assumptions'!E126</f>
        <v>100</v>
      </c>
      <c r="K63" s="164" t="n">
        <f aca="false">'W Assumptions'!E127</f>
        <v>1</v>
      </c>
      <c r="L63" s="164" t="n">
        <f aca="false">IF(AND(J63&gt;='W Assumptions'!$C$149,K63&gt;='W Assumptions'!$F$149),'W Assumptions'!$E$149,IF(AND(J63&gt;='W Assumptions'!$C$148,K63&gt;='W Assumptions'!$F$148),'W Assumptions'!$E$148,IF(J63&gt;='W Assumptions'!$C$147,'W Assumptions'!$E$147,0)))</f>
        <v>0.075</v>
      </c>
      <c r="M63" s="153" t="n">
        <f aca="false">MAX(0,I63)*L63</f>
        <v>85988.25</v>
      </c>
      <c r="N63" s="153" t="n">
        <f aca="false">M63-M62</f>
        <v>14331.375</v>
      </c>
      <c r="O63" s="155"/>
      <c r="P63" s="155"/>
      <c r="Q63" s="155"/>
      <c r="R63" s="155"/>
      <c r="S63" s="155"/>
      <c r="T63" s="155"/>
    </row>
    <row r="64" customFormat="false" ht="22.5" hidden="false" customHeight="true" outlineLevel="0" collapsed="false">
      <c r="C64" s="162" t="n">
        <f aca="false">C24</f>
        <v>46813</v>
      </c>
      <c r="D64" s="153" t="n">
        <f aca="false">SUM(O18:O24)</f>
        <v>4309390.03494203</v>
      </c>
      <c r="E64" s="163" t="n">
        <f aca="false">'W Assumptions'!E125</f>
        <v>100</v>
      </c>
      <c r="F64" s="164" t="n">
        <f aca="false">IF(E64&lt;'W Assumptions'!$C$147,0,IF(E64&lt;'W Assumptions'!$C$148,'W Assumptions'!$D$147,'W Assumptions'!$D$148))</f>
        <v>0.05</v>
      </c>
      <c r="G64" s="153" t="n">
        <f aca="false">MAX(0,D64)*F64</f>
        <v>215469.501747102</v>
      </c>
      <c r="H64" s="153" t="n">
        <f aca="false">G64-G63</f>
        <v>34005.4140275363</v>
      </c>
      <c r="I64" s="153" t="n">
        <f aca="false">SUM(P18:P24)</f>
        <v>1337595</v>
      </c>
      <c r="J64" s="163" t="n">
        <f aca="false">'W Assumptions'!E126</f>
        <v>100</v>
      </c>
      <c r="K64" s="164" t="n">
        <f aca="false">'W Assumptions'!E127</f>
        <v>1</v>
      </c>
      <c r="L64" s="164" t="n">
        <f aca="false">IF(AND(J64&gt;='W Assumptions'!$C$149,K64&gt;='W Assumptions'!$F$149),'W Assumptions'!$E$149,IF(AND(J64&gt;='W Assumptions'!$C$148,K64&gt;='W Assumptions'!$F$148),'W Assumptions'!$E$148,IF(J64&gt;='W Assumptions'!$C$147,'W Assumptions'!$E$147,0)))</f>
        <v>0.075</v>
      </c>
      <c r="M64" s="153" t="n">
        <f aca="false">MAX(0,I64)*L64</f>
        <v>100319.625</v>
      </c>
      <c r="N64" s="153" t="n">
        <f aca="false">M64-M63</f>
        <v>14331.375</v>
      </c>
      <c r="O64" s="155"/>
      <c r="P64" s="155"/>
      <c r="Q64" s="155"/>
      <c r="R64" s="155"/>
      <c r="S64" s="155"/>
      <c r="T64" s="155"/>
    </row>
    <row r="65" customFormat="false" ht="22.5" hidden="false" customHeight="true" outlineLevel="0" collapsed="false">
      <c r="C65" s="162" t="n">
        <f aca="false">C25</f>
        <v>46844</v>
      </c>
      <c r="D65" s="153" t="n">
        <f aca="false">SUM(O18:O25)</f>
        <v>4950244.24971015</v>
      </c>
      <c r="E65" s="163" t="n">
        <f aca="false">'W Assumptions'!E125</f>
        <v>100</v>
      </c>
      <c r="F65" s="164" t="n">
        <f aca="false">IF(E65&lt;'W Assumptions'!$C$147,0,IF(E65&lt;'W Assumptions'!$C$148,'W Assumptions'!$D$147,'W Assumptions'!$D$148))</f>
        <v>0.05</v>
      </c>
      <c r="G65" s="153" t="n">
        <f aca="false">MAX(0,D65)*F65</f>
        <v>247512.212485507</v>
      </c>
      <c r="H65" s="153" t="n">
        <f aca="false">G65-G64</f>
        <v>32042.7107384058</v>
      </c>
      <c r="I65" s="153" t="n">
        <f aca="false">SUM(P18:P25)</f>
        <v>1528680</v>
      </c>
      <c r="J65" s="163" t="n">
        <f aca="false">'W Assumptions'!E126</f>
        <v>100</v>
      </c>
      <c r="K65" s="164" t="n">
        <f aca="false">'W Assumptions'!E127</f>
        <v>1</v>
      </c>
      <c r="L65" s="164" t="n">
        <f aca="false">IF(AND(J65&gt;='W Assumptions'!$C$149,K65&gt;='W Assumptions'!$F$149),'W Assumptions'!$E$149,IF(AND(J65&gt;='W Assumptions'!$C$148,K65&gt;='W Assumptions'!$F$148),'W Assumptions'!$E$148,IF(J65&gt;='W Assumptions'!$C$147,'W Assumptions'!$E$147,0)))</f>
        <v>0.075</v>
      </c>
      <c r="M65" s="153" t="n">
        <f aca="false">MAX(0,I65)*L65</f>
        <v>114651</v>
      </c>
      <c r="N65" s="153" t="n">
        <f aca="false">M65-M64</f>
        <v>14331.375</v>
      </c>
      <c r="O65" s="155"/>
      <c r="P65" s="155"/>
      <c r="Q65" s="155"/>
      <c r="R65" s="155"/>
      <c r="S65" s="155"/>
      <c r="T65" s="155"/>
    </row>
    <row r="66" customFormat="false" ht="22.5" hidden="false" customHeight="true" outlineLevel="0" collapsed="false">
      <c r="C66" s="162" t="n">
        <f aca="false">C26</f>
        <v>46874</v>
      </c>
      <c r="D66" s="153" t="n">
        <f aca="false">SUM(O18:O26)</f>
        <v>5386131.39869565</v>
      </c>
      <c r="E66" s="163" t="n">
        <f aca="false">'W Assumptions'!E125</f>
        <v>100</v>
      </c>
      <c r="F66" s="164" t="n">
        <f aca="false">IF(E66&lt;'W Assumptions'!$C$147,0,IF(E66&lt;'W Assumptions'!$C$148,'W Assumptions'!$D$147,'W Assumptions'!$D$148))</f>
        <v>0.05</v>
      </c>
      <c r="G66" s="153" t="n">
        <f aca="false">MAX(0,D66)*F66</f>
        <v>269306.569934783</v>
      </c>
      <c r="H66" s="153" t="n">
        <f aca="false">G66-G65</f>
        <v>21794.3574492754</v>
      </c>
      <c r="I66" s="153" t="n">
        <f aca="false">SUM(P18:P26)</f>
        <v>1719765</v>
      </c>
      <c r="J66" s="163" t="n">
        <f aca="false">'W Assumptions'!E126</f>
        <v>100</v>
      </c>
      <c r="K66" s="164" t="n">
        <f aca="false">'W Assumptions'!E127</f>
        <v>1</v>
      </c>
      <c r="L66" s="164" t="n">
        <f aca="false">IF(AND(J66&gt;='W Assumptions'!$C$149,K66&gt;='W Assumptions'!$F$149),'W Assumptions'!$E$149,IF(AND(J66&gt;='W Assumptions'!$C$148,K66&gt;='W Assumptions'!$F$148),'W Assumptions'!$E$148,IF(J66&gt;='W Assumptions'!$C$147,'W Assumptions'!$E$147,0)))</f>
        <v>0.075</v>
      </c>
      <c r="M66" s="153" t="n">
        <f aca="false">MAX(0,I66)*L66</f>
        <v>128982.375</v>
      </c>
      <c r="N66" s="153" t="n">
        <f aca="false">M66-M65</f>
        <v>14331.375</v>
      </c>
      <c r="O66" s="155"/>
      <c r="P66" s="155"/>
      <c r="Q66" s="155"/>
      <c r="R66" s="155"/>
      <c r="S66" s="155"/>
      <c r="T66" s="155"/>
    </row>
    <row r="67" customFormat="false" ht="22.5" hidden="false" customHeight="true" outlineLevel="0" collapsed="false">
      <c r="C67" s="162" t="n">
        <f aca="false">C27</f>
        <v>46905</v>
      </c>
      <c r="D67" s="153" t="n">
        <f aca="false">SUM(O18:O27)</f>
        <v>5830715.28455073</v>
      </c>
      <c r="E67" s="163" t="n">
        <f aca="false">'W Assumptions'!E125</f>
        <v>100</v>
      </c>
      <c r="F67" s="164" t="n">
        <f aca="false">IF(E67&lt;'W Assumptions'!$C$147,0,IF(E67&lt;'W Assumptions'!$C$148,'W Assumptions'!$D$147,'W Assumptions'!$D$148))</f>
        <v>0.05</v>
      </c>
      <c r="G67" s="153" t="n">
        <f aca="false">MAX(0,D67)*F67</f>
        <v>291535.764227536</v>
      </c>
      <c r="H67" s="153" t="n">
        <f aca="false">G67-G66</f>
        <v>22229.1942927536</v>
      </c>
      <c r="I67" s="153" t="n">
        <f aca="false">SUM(P18:P27)</f>
        <v>1910850</v>
      </c>
      <c r="J67" s="163" t="n">
        <f aca="false">'W Assumptions'!E126</f>
        <v>100</v>
      </c>
      <c r="K67" s="164" t="n">
        <f aca="false">'W Assumptions'!E127</f>
        <v>1</v>
      </c>
      <c r="L67" s="164" t="n">
        <f aca="false">IF(AND(J67&gt;='W Assumptions'!$C$149,K67&gt;='W Assumptions'!$F$149),'W Assumptions'!$E$149,IF(AND(J67&gt;='W Assumptions'!$C$148,K67&gt;='W Assumptions'!$F$148),'W Assumptions'!$E$148,IF(J67&gt;='W Assumptions'!$C$147,'W Assumptions'!$E$147,0)))</f>
        <v>0.075</v>
      </c>
      <c r="M67" s="153" t="n">
        <f aca="false">MAX(0,I67)*L67</f>
        <v>143313.75</v>
      </c>
      <c r="N67" s="153" t="n">
        <f aca="false">M67-M66</f>
        <v>14331.375</v>
      </c>
      <c r="O67" s="155"/>
      <c r="P67" s="155"/>
      <c r="Q67" s="155"/>
      <c r="R67" s="155"/>
      <c r="S67" s="155"/>
      <c r="T67" s="155"/>
    </row>
    <row r="68" customFormat="false" ht="22.5" hidden="false" customHeight="true" outlineLevel="0" collapsed="false">
      <c r="C68" s="162" t="n">
        <f aca="false">C28</f>
        <v>46935</v>
      </c>
      <c r="D68" s="153" t="n">
        <f aca="false">SUM(O18:O28)</f>
        <v>6380896.3704058</v>
      </c>
      <c r="E68" s="163" t="n">
        <f aca="false">'W Assumptions'!E125</f>
        <v>100</v>
      </c>
      <c r="F68" s="164" t="n">
        <f aca="false">IF(E68&lt;'W Assumptions'!$C$147,0,IF(E68&lt;'W Assumptions'!$C$148,'W Assumptions'!$D$147,'W Assumptions'!$D$148))</f>
        <v>0.05</v>
      </c>
      <c r="G68" s="153" t="n">
        <f aca="false">MAX(0,D68)*F68</f>
        <v>319044.81852029</v>
      </c>
      <c r="H68" s="153" t="n">
        <f aca="false">G68-G67</f>
        <v>27509.0542927536</v>
      </c>
      <c r="I68" s="153" t="n">
        <f aca="false">SUM(P18:P28)</f>
        <v>2101935</v>
      </c>
      <c r="J68" s="163" t="n">
        <f aca="false">'W Assumptions'!E126</f>
        <v>100</v>
      </c>
      <c r="K68" s="164" t="n">
        <f aca="false">'W Assumptions'!E127</f>
        <v>1</v>
      </c>
      <c r="L68" s="164" t="n">
        <f aca="false">IF(AND(J68&gt;='W Assumptions'!$C$149,K68&gt;='W Assumptions'!$F$149),'W Assumptions'!$E$149,IF(AND(J68&gt;='W Assumptions'!$C$148,K68&gt;='W Assumptions'!$F$148),'W Assumptions'!$E$148,IF(J68&gt;='W Assumptions'!$C$147,'W Assumptions'!$E$147,0)))</f>
        <v>0.075</v>
      </c>
      <c r="M68" s="153" t="n">
        <f aca="false">MAX(0,I68)*L68</f>
        <v>157645.125</v>
      </c>
      <c r="N68" s="153" t="n">
        <f aca="false">M68-M67</f>
        <v>14331.375</v>
      </c>
      <c r="O68" s="155"/>
      <c r="P68" s="155"/>
      <c r="Q68" s="155"/>
      <c r="R68" s="155"/>
      <c r="S68" s="155"/>
      <c r="T68" s="155"/>
    </row>
    <row r="69" customFormat="false" ht="22.5" hidden="false" customHeight="true" outlineLevel="0" collapsed="false">
      <c r="C69" s="162" t="n">
        <f aca="false">C29</f>
        <v>46966</v>
      </c>
      <c r="D69" s="153" t="n">
        <f aca="false">SUM(O18:O29)</f>
        <v>6949469.78782609</v>
      </c>
      <c r="E69" s="163" t="n">
        <f aca="false">'W Assumptions'!E125</f>
        <v>100</v>
      </c>
      <c r="F69" s="164" t="n">
        <f aca="false">IF(E69&lt;'W Assumptions'!$C$147,0,IF(E69&lt;'W Assumptions'!$C$148,'W Assumptions'!$D$147,'W Assumptions'!$D$148))</f>
        <v>0.05</v>
      </c>
      <c r="G69" s="153" t="n">
        <f aca="false">MAX(0,D69)*F69</f>
        <v>347473.489391305</v>
      </c>
      <c r="H69" s="153" t="n">
        <f aca="false">G69-G68</f>
        <v>28428.6708710145</v>
      </c>
      <c r="I69" s="153" t="n">
        <f aca="false">SUM(P18:P29)</f>
        <v>2293020</v>
      </c>
      <c r="J69" s="163" t="n">
        <f aca="false">'W Assumptions'!E126</f>
        <v>100</v>
      </c>
      <c r="K69" s="164" t="n">
        <f aca="false">'W Assumptions'!E127</f>
        <v>1</v>
      </c>
      <c r="L69" s="164" t="n">
        <f aca="false">IF(AND(J69&gt;='W Assumptions'!$C$149,K69&gt;='W Assumptions'!$F$149),'W Assumptions'!$E$149,IF(AND(J69&gt;='W Assumptions'!$C$148,K69&gt;='W Assumptions'!$F$148),'W Assumptions'!$E$148,IF(J69&gt;='W Assumptions'!$C$147,'W Assumptions'!$E$147,0)))</f>
        <v>0.075</v>
      </c>
      <c r="M69" s="153" t="n">
        <f aca="false">MAX(0,I69)*L69</f>
        <v>171976.5</v>
      </c>
      <c r="N69" s="153" t="n">
        <f aca="false">M69-M68</f>
        <v>14331.375</v>
      </c>
      <c r="O69" s="155"/>
      <c r="P69" s="155"/>
      <c r="Q69" s="155"/>
      <c r="R69" s="155"/>
      <c r="S69" s="155"/>
      <c r="T69" s="155"/>
    </row>
    <row r="70" customFormat="false" ht="22.5" hidden="false" customHeight="true" outlineLevel="0" collapsed="false">
      <c r="C70" s="162" t="n">
        <f aca="false">C30</f>
        <v>46997</v>
      </c>
      <c r="D70" s="153" t="n">
        <f aca="false">SUM(O30)</f>
        <v>514283.553864812</v>
      </c>
      <c r="E70" s="163" t="n">
        <f aca="false">'W Assumptions'!F125</f>
        <v>100</v>
      </c>
      <c r="F70" s="164" t="n">
        <f aca="false">IF(E70&lt;'W Assumptions'!$C$147,0,IF(E70&lt;'W Assumptions'!$C$148,'W Assumptions'!$D$147,'W Assumptions'!$D$148))</f>
        <v>0.05</v>
      </c>
      <c r="G70" s="153" t="n">
        <f aca="false">MAX(0,D70)*F70</f>
        <v>25714.1776932406</v>
      </c>
      <c r="H70" s="153" t="n">
        <f aca="false">G70</f>
        <v>25714.1776932406</v>
      </c>
      <c r="I70" s="153" t="n">
        <f aca="false">SUM(P30)</f>
        <v>395284.166666667</v>
      </c>
      <c r="J70" s="163" t="n">
        <f aca="false">'W Assumptions'!F126</f>
        <v>100</v>
      </c>
      <c r="K70" s="164" t="n">
        <f aca="false">'W Assumptions'!F127</f>
        <v>1</v>
      </c>
      <c r="L70" s="164" t="n">
        <f aca="false">IF(AND(J70&gt;='W Assumptions'!$C$149,K70&gt;='W Assumptions'!$F$149),'W Assumptions'!$E$149,IF(AND(J70&gt;='W Assumptions'!$C$148,K70&gt;='W Assumptions'!$F$148),'W Assumptions'!$E$148,IF(J70&gt;='W Assumptions'!$C$147,'W Assumptions'!$E$147,0)))</f>
        <v>0.075</v>
      </c>
      <c r="M70" s="153" t="n">
        <f aca="false">MAX(0,I70)*L70</f>
        <v>29646.3125</v>
      </c>
      <c r="N70" s="153" t="n">
        <f aca="false">M70</f>
        <v>29646.3125</v>
      </c>
      <c r="O70" s="155"/>
      <c r="P70" s="155"/>
      <c r="Q70" s="155"/>
      <c r="R70" s="155"/>
      <c r="S70" s="155"/>
      <c r="T70" s="155"/>
    </row>
    <row r="71" customFormat="false" ht="22.5" hidden="false" customHeight="true" outlineLevel="0" collapsed="false">
      <c r="C71" s="162" t="n">
        <f aca="false">C31</f>
        <v>47027</v>
      </c>
      <c r="D71" s="153" t="n">
        <f aca="false">SUM(O30:O31)</f>
        <v>1240132.8785062</v>
      </c>
      <c r="E71" s="163" t="n">
        <f aca="false">'W Assumptions'!F125</f>
        <v>100</v>
      </c>
      <c r="F71" s="164" t="n">
        <f aca="false">IF(E71&lt;'W Assumptions'!$C$147,0,IF(E71&lt;'W Assumptions'!$C$148,'W Assumptions'!$D$147,'W Assumptions'!$D$148))</f>
        <v>0.05</v>
      </c>
      <c r="G71" s="153" t="n">
        <f aca="false">MAX(0,D71)*F71</f>
        <v>62006.6439253099</v>
      </c>
      <c r="H71" s="153" t="n">
        <f aca="false">G71-G70</f>
        <v>36292.4662320693</v>
      </c>
      <c r="I71" s="153" t="n">
        <f aca="false">SUM(P30:P31)</f>
        <v>790568.333333334</v>
      </c>
      <c r="J71" s="163" t="n">
        <f aca="false">'W Assumptions'!F126</f>
        <v>100</v>
      </c>
      <c r="K71" s="164" t="n">
        <f aca="false">'W Assumptions'!F127</f>
        <v>1</v>
      </c>
      <c r="L71" s="164" t="n">
        <f aca="false">IF(AND(J71&gt;='W Assumptions'!$C$149,K71&gt;='W Assumptions'!$F$149),'W Assumptions'!$E$149,IF(AND(J71&gt;='W Assumptions'!$C$148,K71&gt;='W Assumptions'!$F$148),'W Assumptions'!$E$148,IF(J71&gt;='W Assumptions'!$C$147,'W Assumptions'!$E$147,0)))</f>
        <v>0.075</v>
      </c>
      <c r="M71" s="153" t="n">
        <f aca="false">MAX(0,I71)*L71</f>
        <v>59292.625</v>
      </c>
      <c r="N71" s="153" t="n">
        <f aca="false">M71-M70</f>
        <v>29646.3125</v>
      </c>
      <c r="O71" s="155"/>
      <c r="P71" s="155"/>
      <c r="Q71" s="155"/>
      <c r="R71" s="155"/>
      <c r="S71" s="155"/>
      <c r="T71" s="155"/>
    </row>
    <row r="72" customFormat="false" ht="22.5" hidden="false" customHeight="true" outlineLevel="0" collapsed="false">
      <c r="C72" s="162" t="n">
        <f aca="false">C32</f>
        <v>47058</v>
      </c>
      <c r="D72" s="153" t="n">
        <f aca="false">SUM(O30:O32)</f>
        <v>1897715.39392416</v>
      </c>
      <c r="E72" s="163" t="n">
        <f aca="false">'W Assumptions'!F125</f>
        <v>100</v>
      </c>
      <c r="F72" s="164" t="n">
        <f aca="false">IF(E72&lt;'W Assumptions'!$C$147,0,IF(E72&lt;'W Assumptions'!$C$148,'W Assumptions'!$D$147,'W Assumptions'!$D$148))</f>
        <v>0.05</v>
      </c>
      <c r="G72" s="153" t="n">
        <f aca="false">MAX(0,D72)*F72</f>
        <v>94885.7696962078</v>
      </c>
      <c r="H72" s="153" t="n">
        <f aca="false">G72-G71</f>
        <v>32879.125770898</v>
      </c>
      <c r="I72" s="153" t="n">
        <f aca="false">SUM(P30:P32)</f>
        <v>1185852.5</v>
      </c>
      <c r="J72" s="163" t="n">
        <f aca="false">'W Assumptions'!F126</f>
        <v>100</v>
      </c>
      <c r="K72" s="164" t="n">
        <f aca="false">'W Assumptions'!F127</f>
        <v>1</v>
      </c>
      <c r="L72" s="164" t="n">
        <f aca="false">IF(AND(J72&gt;='W Assumptions'!$C$149,K72&gt;='W Assumptions'!$F$149),'W Assumptions'!$E$149,IF(AND(J72&gt;='W Assumptions'!$C$148,K72&gt;='W Assumptions'!$F$148),'W Assumptions'!$E$148,IF(J72&gt;='W Assumptions'!$C$147,'W Assumptions'!$E$147,0)))</f>
        <v>0.075</v>
      </c>
      <c r="M72" s="153" t="n">
        <f aca="false">MAX(0,I72)*L72</f>
        <v>88938.9375</v>
      </c>
      <c r="N72" s="153" t="n">
        <f aca="false">M72-M71</f>
        <v>29646.3125</v>
      </c>
      <c r="O72" s="155"/>
      <c r="P72" s="155"/>
      <c r="Q72" s="155"/>
      <c r="R72" s="155"/>
      <c r="S72" s="155"/>
      <c r="T72" s="155"/>
    </row>
    <row r="73" customFormat="false" ht="22.5" hidden="false" customHeight="true" outlineLevel="0" collapsed="false">
      <c r="C73" s="162" t="n">
        <f aca="false">C33</f>
        <v>47088</v>
      </c>
      <c r="D73" s="153" t="n">
        <f aca="false">SUM(O30:O33)</f>
        <v>2934763.22811869</v>
      </c>
      <c r="E73" s="163" t="n">
        <f aca="false">'W Assumptions'!F125</f>
        <v>100</v>
      </c>
      <c r="F73" s="164" t="n">
        <f aca="false">IF(E73&lt;'W Assumptions'!$C$147,0,IF(E73&lt;'W Assumptions'!$C$148,'W Assumptions'!$D$147,'W Assumptions'!$D$148))</f>
        <v>0.05</v>
      </c>
      <c r="G73" s="153" t="n">
        <f aca="false">MAX(0,D73)*F73</f>
        <v>146738.161405935</v>
      </c>
      <c r="H73" s="153" t="n">
        <f aca="false">G73-G72</f>
        <v>51852.3917097267</v>
      </c>
      <c r="I73" s="153" t="n">
        <f aca="false">SUM(P30:P33)</f>
        <v>1581136.66666667</v>
      </c>
      <c r="J73" s="163" t="n">
        <f aca="false">'W Assumptions'!F126</f>
        <v>100</v>
      </c>
      <c r="K73" s="164" t="n">
        <f aca="false">'W Assumptions'!F127</f>
        <v>1</v>
      </c>
      <c r="L73" s="164" t="n">
        <f aca="false">IF(AND(J73&gt;='W Assumptions'!$C$149,K73&gt;='W Assumptions'!$F$149),'W Assumptions'!$E$149,IF(AND(J73&gt;='W Assumptions'!$C$148,K73&gt;='W Assumptions'!$F$148),'W Assumptions'!$E$148,IF(J73&gt;='W Assumptions'!$C$147,'W Assumptions'!$E$147,0)))</f>
        <v>0.075</v>
      </c>
      <c r="M73" s="153" t="n">
        <f aca="false">MAX(0,I73)*L73</f>
        <v>118585.25</v>
      </c>
      <c r="N73" s="153" t="n">
        <f aca="false">M73-M72</f>
        <v>29646.3125</v>
      </c>
      <c r="O73" s="155"/>
      <c r="P73" s="155"/>
      <c r="Q73" s="155"/>
      <c r="R73" s="155"/>
      <c r="S73" s="155"/>
      <c r="T73" s="155"/>
    </row>
    <row r="74" customFormat="false" ht="22.5" hidden="false" customHeight="true" outlineLevel="0" collapsed="false">
      <c r="C74" s="162" t="n">
        <f aca="false">C34</f>
        <v>47119</v>
      </c>
      <c r="D74" s="153" t="n">
        <f aca="false">SUM(O30:O34)</f>
        <v>3660612.55276008</v>
      </c>
      <c r="E74" s="163" t="n">
        <f aca="false">'W Assumptions'!F125</f>
        <v>100</v>
      </c>
      <c r="F74" s="164" t="n">
        <f aca="false">IF(E74&lt;'W Assumptions'!$C$147,0,IF(E74&lt;'W Assumptions'!$C$148,'W Assumptions'!$D$147,'W Assumptions'!$D$148))</f>
        <v>0.05</v>
      </c>
      <c r="G74" s="153" t="n">
        <f aca="false">MAX(0,D74)*F74</f>
        <v>183030.627638004</v>
      </c>
      <c r="H74" s="153" t="n">
        <f aca="false">G74-G73</f>
        <v>36292.4662320693</v>
      </c>
      <c r="I74" s="153" t="n">
        <f aca="false">SUM(P30:P34)</f>
        <v>1976420.83333333</v>
      </c>
      <c r="J74" s="163" t="n">
        <f aca="false">'W Assumptions'!F126</f>
        <v>100</v>
      </c>
      <c r="K74" s="164" t="n">
        <f aca="false">'W Assumptions'!F127</f>
        <v>1</v>
      </c>
      <c r="L74" s="164" t="n">
        <f aca="false">IF(AND(J74&gt;='W Assumptions'!$C$149,K74&gt;='W Assumptions'!$F$149),'W Assumptions'!$E$149,IF(AND(J74&gt;='W Assumptions'!$C$148,K74&gt;='W Assumptions'!$F$148),'W Assumptions'!$E$148,IF(J74&gt;='W Assumptions'!$C$147,'W Assumptions'!$E$147,0)))</f>
        <v>0.075</v>
      </c>
      <c r="M74" s="153" t="n">
        <f aca="false">MAX(0,I74)*L74</f>
        <v>148231.5625</v>
      </c>
      <c r="N74" s="153" t="n">
        <f aca="false">M74-M73</f>
        <v>29646.3125</v>
      </c>
      <c r="O74" s="155"/>
      <c r="P74" s="155"/>
      <c r="Q74" s="155"/>
      <c r="R74" s="155"/>
      <c r="S74" s="155"/>
      <c r="T74" s="155"/>
    </row>
    <row r="75" customFormat="false" ht="22.5" hidden="false" customHeight="true" outlineLevel="0" collapsed="false">
      <c r="C75" s="162" t="n">
        <f aca="false">C35</f>
        <v>47150</v>
      </c>
      <c r="D75" s="153" t="n">
        <f aca="false">SUM(O30:O35)</f>
        <v>4174896.10662489</v>
      </c>
      <c r="E75" s="163" t="n">
        <f aca="false">'W Assumptions'!F125</f>
        <v>100</v>
      </c>
      <c r="F75" s="164" t="n">
        <f aca="false">IF(E75&lt;'W Assumptions'!$C$147,0,IF(E75&lt;'W Assumptions'!$C$148,'W Assumptions'!$D$147,'W Assumptions'!$D$148))</f>
        <v>0.05</v>
      </c>
      <c r="G75" s="153" t="n">
        <f aca="false">MAX(0,D75)*F75</f>
        <v>208744.805331244</v>
      </c>
      <c r="H75" s="153" t="n">
        <f aca="false">G75-G74</f>
        <v>25714.1776932406</v>
      </c>
      <c r="I75" s="153" t="n">
        <f aca="false">SUM(P30:P35)</f>
        <v>2371705</v>
      </c>
      <c r="J75" s="163" t="n">
        <f aca="false">'W Assumptions'!F126</f>
        <v>100</v>
      </c>
      <c r="K75" s="164" t="n">
        <f aca="false">'W Assumptions'!F127</f>
        <v>1</v>
      </c>
      <c r="L75" s="164" t="n">
        <f aca="false">IF(AND(J75&gt;='W Assumptions'!$C$149,K75&gt;='W Assumptions'!$F$149),'W Assumptions'!$E$149,IF(AND(J75&gt;='W Assumptions'!$C$148,K75&gt;='W Assumptions'!$F$148),'W Assumptions'!$E$148,IF(J75&gt;='W Assumptions'!$C$147,'W Assumptions'!$E$147,0)))</f>
        <v>0.075</v>
      </c>
      <c r="M75" s="153" t="n">
        <f aca="false">MAX(0,I75)*L75</f>
        <v>177877.875</v>
      </c>
      <c r="N75" s="153" t="n">
        <f aca="false">M75-M74</f>
        <v>29646.3125</v>
      </c>
      <c r="O75" s="155"/>
      <c r="P75" s="155"/>
      <c r="Q75" s="155"/>
      <c r="R75" s="155"/>
      <c r="S75" s="155"/>
      <c r="T75" s="155"/>
    </row>
    <row r="76" customFormat="false" ht="22.5" hidden="false" customHeight="true" outlineLevel="0" collapsed="false">
      <c r="C76" s="162" t="n">
        <f aca="false">C36</f>
        <v>47178</v>
      </c>
      <c r="D76" s="153" t="n">
        <f aca="false">SUM(O30:O36)</f>
        <v>4954133.48604285</v>
      </c>
      <c r="E76" s="163" t="n">
        <f aca="false">'W Assumptions'!F125</f>
        <v>100</v>
      </c>
      <c r="F76" s="164" t="n">
        <f aca="false">IF(E76&lt;'W Assumptions'!$C$147,0,IF(E76&lt;'W Assumptions'!$C$148,'W Assumptions'!$D$147,'W Assumptions'!$D$148))</f>
        <v>0.05</v>
      </c>
      <c r="G76" s="153" t="n">
        <f aca="false">MAX(0,D76)*F76</f>
        <v>247706.674302142</v>
      </c>
      <c r="H76" s="153" t="n">
        <f aca="false">G76-G75</f>
        <v>38961.868970898</v>
      </c>
      <c r="I76" s="153" t="n">
        <f aca="false">SUM(P30:P36)</f>
        <v>2766989.16666667</v>
      </c>
      <c r="J76" s="163" t="n">
        <f aca="false">'W Assumptions'!F126</f>
        <v>100</v>
      </c>
      <c r="K76" s="164" t="n">
        <f aca="false">'W Assumptions'!F127</f>
        <v>1</v>
      </c>
      <c r="L76" s="164" t="n">
        <f aca="false">IF(AND(J76&gt;='W Assumptions'!$C$149,K76&gt;='W Assumptions'!$F$149),'W Assumptions'!$E$149,IF(AND(J76&gt;='W Assumptions'!$C$148,K76&gt;='W Assumptions'!$F$148),'W Assumptions'!$E$148,IF(J76&gt;='W Assumptions'!$C$147,'W Assumptions'!$E$147,0)))</f>
        <v>0.075</v>
      </c>
      <c r="M76" s="153" t="n">
        <f aca="false">MAX(0,I76)*L76</f>
        <v>207524.1875</v>
      </c>
      <c r="N76" s="153" t="n">
        <f aca="false">M76-M75</f>
        <v>29646.3125</v>
      </c>
      <c r="O76" s="155"/>
      <c r="P76" s="155"/>
      <c r="Q76" s="155"/>
      <c r="R76" s="155"/>
      <c r="S76" s="155"/>
      <c r="T76" s="155"/>
    </row>
    <row r="77" customFormat="false" ht="22.5" hidden="false" customHeight="true" outlineLevel="0" collapsed="false">
      <c r="C77" s="162" t="n">
        <f aca="false">C37</f>
        <v>47209</v>
      </c>
      <c r="D77" s="153" t="n">
        <f aca="false">SUM(O30:O37)</f>
        <v>5689704.64268423</v>
      </c>
      <c r="E77" s="163" t="n">
        <f aca="false">'W Assumptions'!F125</f>
        <v>100</v>
      </c>
      <c r="F77" s="164" t="n">
        <f aca="false">IF(E77&lt;'W Assumptions'!$C$147,0,IF(E77&lt;'W Assumptions'!$C$148,'W Assumptions'!$D$147,'W Assumptions'!$D$148))</f>
        <v>0.05</v>
      </c>
      <c r="G77" s="153" t="n">
        <f aca="false">MAX(0,D77)*F77</f>
        <v>284485.232134212</v>
      </c>
      <c r="H77" s="153" t="n">
        <f aca="false">G77-G76</f>
        <v>36778.5578320692</v>
      </c>
      <c r="I77" s="153" t="n">
        <f aca="false">SUM(P30:P37)</f>
        <v>3162273.33333333</v>
      </c>
      <c r="J77" s="163" t="n">
        <f aca="false">'W Assumptions'!F126</f>
        <v>100</v>
      </c>
      <c r="K77" s="164" t="n">
        <f aca="false">'W Assumptions'!F127</f>
        <v>1</v>
      </c>
      <c r="L77" s="164" t="n">
        <f aca="false">IF(AND(J77&gt;='W Assumptions'!$C$149,K77&gt;='W Assumptions'!$F$149),'W Assumptions'!$E$149,IF(AND(J77&gt;='W Assumptions'!$C$148,K77&gt;='W Assumptions'!$F$148),'W Assumptions'!$E$148,IF(J77&gt;='W Assumptions'!$C$147,'W Assumptions'!$E$147,0)))</f>
        <v>0.075</v>
      </c>
      <c r="M77" s="153" t="n">
        <f aca="false">MAX(0,I77)*L77</f>
        <v>237170.5</v>
      </c>
      <c r="N77" s="153" t="n">
        <f aca="false">M77-M76</f>
        <v>29646.3125</v>
      </c>
      <c r="O77" s="155"/>
      <c r="P77" s="155"/>
      <c r="Q77" s="155"/>
      <c r="R77" s="155"/>
      <c r="S77" s="155"/>
      <c r="T77" s="155"/>
    </row>
    <row r="78" customFormat="false" ht="22.5" hidden="false" customHeight="true" outlineLevel="0" collapsed="false">
      <c r="C78" s="162" t="n">
        <f aca="false">C38</f>
        <v>47239</v>
      </c>
      <c r="D78" s="153" t="n">
        <f aca="false">SUM(O30:O38)</f>
        <v>6203988.19654904</v>
      </c>
      <c r="E78" s="163" t="n">
        <f aca="false">'W Assumptions'!F125</f>
        <v>100</v>
      </c>
      <c r="F78" s="164" t="n">
        <f aca="false">IF(E78&lt;'W Assumptions'!$C$147,0,IF(E78&lt;'W Assumptions'!$C$148,'W Assumptions'!$D$147,'W Assumptions'!$D$148))</f>
        <v>0.05</v>
      </c>
      <c r="G78" s="153" t="n">
        <f aca="false">MAX(0,D78)*F78</f>
        <v>310199.409827452</v>
      </c>
      <c r="H78" s="153" t="n">
        <f aca="false">G78-G77</f>
        <v>25714.1776932406</v>
      </c>
      <c r="I78" s="153" t="n">
        <f aca="false">SUM(P30:P38)</f>
        <v>3557557.5</v>
      </c>
      <c r="J78" s="163" t="n">
        <f aca="false">'W Assumptions'!F126</f>
        <v>100</v>
      </c>
      <c r="K78" s="164" t="n">
        <f aca="false">'W Assumptions'!F127</f>
        <v>1</v>
      </c>
      <c r="L78" s="164" t="n">
        <f aca="false">IF(AND(J78&gt;='W Assumptions'!$C$149,K78&gt;='W Assumptions'!$F$149),'W Assumptions'!$E$149,IF(AND(J78&gt;='W Assumptions'!$C$148,K78&gt;='W Assumptions'!$F$148),'W Assumptions'!$E$148,IF(J78&gt;='W Assumptions'!$C$147,'W Assumptions'!$E$147,0)))</f>
        <v>0.075</v>
      </c>
      <c r="M78" s="153" t="n">
        <f aca="false">MAX(0,I78)*L78</f>
        <v>266816.8125</v>
      </c>
      <c r="N78" s="153" t="n">
        <f aca="false">M78-M77</f>
        <v>29646.3125</v>
      </c>
      <c r="O78" s="155"/>
      <c r="P78" s="155"/>
      <c r="Q78" s="155"/>
      <c r="R78" s="155"/>
      <c r="S78" s="155"/>
      <c r="T78" s="155"/>
    </row>
    <row r="79" customFormat="false" ht="22.5" hidden="false" customHeight="true" outlineLevel="0" collapsed="false">
      <c r="C79" s="162" t="n">
        <f aca="false">C39</f>
        <v>47270</v>
      </c>
      <c r="D79" s="153" t="n">
        <f aca="false">SUM(O30:O39)</f>
        <v>6721228.23930756</v>
      </c>
      <c r="E79" s="163" t="n">
        <f aca="false">'W Assumptions'!F125</f>
        <v>100</v>
      </c>
      <c r="F79" s="164" t="n">
        <f aca="false">IF(E79&lt;'W Assumptions'!$C$147,0,IF(E79&lt;'W Assumptions'!$C$148,'W Assumptions'!$D$147,'W Assumptions'!$D$148))</f>
        <v>0.05</v>
      </c>
      <c r="G79" s="153" t="n">
        <f aca="false">MAX(0,D79)*F79</f>
        <v>336061.411965378</v>
      </c>
      <c r="H79" s="153" t="n">
        <f aca="false">G79-G78</f>
        <v>25862.0021379258</v>
      </c>
      <c r="I79" s="153" t="n">
        <f aca="false">SUM(P30:P39)</f>
        <v>3952841.66666667</v>
      </c>
      <c r="J79" s="163" t="n">
        <f aca="false">'W Assumptions'!F126</f>
        <v>100</v>
      </c>
      <c r="K79" s="164" t="n">
        <f aca="false">'W Assumptions'!F127</f>
        <v>1</v>
      </c>
      <c r="L79" s="164" t="n">
        <f aca="false">IF(AND(J79&gt;='W Assumptions'!$C$149,K79&gt;='W Assumptions'!$F$149),'W Assumptions'!$E$149,IF(AND(J79&gt;='W Assumptions'!$C$148,K79&gt;='W Assumptions'!$F$148),'W Assumptions'!$E$148,IF(J79&gt;='W Assumptions'!$C$147,'W Assumptions'!$E$147,0)))</f>
        <v>0.075</v>
      </c>
      <c r="M79" s="153" t="n">
        <f aca="false">MAX(0,I79)*L79</f>
        <v>296463.125</v>
      </c>
      <c r="N79" s="153" t="n">
        <f aca="false">M79-M78</f>
        <v>29646.3125</v>
      </c>
      <c r="O79" s="155"/>
      <c r="P79" s="155"/>
      <c r="Q79" s="155"/>
      <c r="R79" s="155"/>
      <c r="S79" s="155"/>
      <c r="T79" s="155"/>
    </row>
    <row r="80" customFormat="false" ht="22.5" hidden="false" customHeight="true" outlineLevel="0" collapsed="false">
      <c r="C80" s="162" t="n">
        <f aca="false">C40</f>
        <v>47300</v>
      </c>
      <c r="D80" s="153" t="n">
        <f aca="false">SUM(O30:O40)</f>
        <v>7350401.31406608</v>
      </c>
      <c r="E80" s="163" t="n">
        <f aca="false">'W Assumptions'!F125</f>
        <v>100</v>
      </c>
      <c r="F80" s="164" t="n">
        <f aca="false">IF(E80&lt;'W Assumptions'!$C$147,0,IF(E80&lt;'W Assumptions'!$C$148,'W Assumptions'!$D$147,'W Assumptions'!$D$148))</f>
        <v>0.05</v>
      </c>
      <c r="G80" s="153" t="n">
        <f aca="false">MAX(0,D80)*F80</f>
        <v>367520.065703304</v>
      </c>
      <c r="H80" s="153" t="n">
        <f aca="false">G80-G79</f>
        <v>31458.6537379258</v>
      </c>
      <c r="I80" s="153" t="n">
        <f aca="false">SUM(P30:P40)</f>
        <v>4348125.83333333</v>
      </c>
      <c r="J80" s="163" t="n">
        <f aca="false">'W Assumptions'!F126</f>
        <v>100</v>
      </c>
      <c r="K80" s="164" t="n">
        <f aca="false">'W Assumptions'!F127</f>
        <v>1</v>
      </c>
      <c r="L80" s="164" t="n">
        <f aca="false">IF(AND(J80&gt;='W Assumptions'!$C$149,K80&gt;='W Assumptions'!$F$149),'W Assumptions'!$E$149,IF(AND(J80&gt;='W Assumptions'!$C$148,K80&gt;='W Assumptions'!$F$148),'W Assumptions'!$E$148,IF(J80&gt;='W Assumptions'!$C$147,'W Assumptions'!$E$147,0)))</f>
        <v>0.075</v>
      </c>
      <c r="M80" s="153" t="n">
        <f aca="false">MAX(0,I80)*L80</f>
        <v>326109.4375</v>
      </c>
      <c r="N80" s="153" t="n">
        <f aca="false">M80-M79</f>
        <v>29646.3125</v>
      </c>
      <c r="O80" s="155"/>
      <c r="P80" s="155"/>
      <c r="Q80" s="155"/>
      <c r="R80" s="155"/>
      <c r="S80" s="155"/>
      <c r="T80" s="155"/>
    </row>
    <row r="81" customFormat="false" ht="22.5" hidden="false" customHeight="true" outlineLevel="0" collapsed="false">
      <c r="C81" s="162" t="n">
        <f aca="false">C41</f>
        <v>47331</v>
      </c>
      <c r="D81" s="153" t="n">
        <f aca="false">SUM(O30:O41)</f>
        <v>8001218.48637774</v>
      </c>
      <c r="E81" s="163" t="n">
        <f aca="false">'W Assumptions'!F125</f>
        <v>100</v>
      </c>
      <c r="F81" s="164" t="n">
        <f aca="false">IF(E81&lt;'W Assumptions'!$C$147,0,IF(E81&lt;'W Assumptions'!$C$148,'W Assumptions'!$D$147,'W Assumptions'!$D$148))</f>
        <v>0.05</v>
      </c>
      <c r="G81" s="153" t="n">
        <f aca="false">MAX(0,D81)*F81</f>
        <v>400060.924318887</v>
      </c>
      <c r="H81" s="153" t="n">
        <f aca="false">G81-G80</f>
        <v>32540.8586155832</v>
      </c>
      <c r="I81" s="153" t="n">
        <f aca="false">SUM(P30:P41)</f>
        <v>4743410</v>
      </c>
      <c r="J81" s="163" t="n">
        <f aca="false">'W Assumptions'!F126</f>
        <v>100</v>
      </c>
      <c r="K81" s="164" t="n">
        <f aca="false">'W Assumptions'!F127</f>
        <v>1</v>
      </c>
      <c r="L81" s="164" t="n">
        <f aca="false">IF(AND(J81&gt;='W Assumptions'!$C$149,K81&gt;='W Assumptions'!$F$149),'W Assumptions'!$E$149,IF(AND(J81&gt;='W Assumptions'!$C$148,K81&gt;='W Assumptions'!$F$148),'W Assumptions'!$E$148,IF(J81&gt;='W Assumptions'!$C$147,'W Assumptions'!$E$147,0)))</f>
        <v>0.075</v>
      </c>
      <c r="M81" s="153" t="n">
        <f aca="false">MAX(0,I81)*L81</f>
        <v>355755.75</v>
      </c>
      <c r="N81" s="153" t="n">
        <f aca="false">M81-M80</f>
        <v>29646.3125</v>
      </c>
      <c r="O81" s="155"/>
      <c r="P81" s="155"/>
      <c r="Q81" s="155"/>
      <c r="R81" s="155"/>
      <c r="S81" s="155"/>
      <c r="T81" s="155"/>
    </row>
    <row r="82" customFormat="false" ht="22.5" hidden="false" customHeight="true" outlineLevel="0" collapsed="false">
      <c r="C82" s="155"/>
      <c r="D82" s="155"/>
      <c r="E82" s="155"/>
      <c r="F82" s="155"/>
      <c r="G82" s="155"/>
      <c r="H82" s="155"/>
      <c r="I82" s="155"/>
      <c r="J82" s="155"/>
      <c r="K82" s="155"/>
      <c r="L82" s="155"/>
      <c r="M82" s="155"/>
      <c r="N82" s="155"/>
      <c r="O82" s="155"/>
      <c r="P82" s="155"/>
      <c r="Q82" s="155"/>
      <c r="R82" s="155"/>
      <c r="S82" s="155"/>
      <c r="T82" s="155"/>
    </row>
    <row r="83" customFormat="false" ht="22.5" hidden="false" customHeight="true" outlineLevel="0" collapsed="false">
      <c r="C83" s="155"/>
      <c r="D83" s="155"/>
      <c r="E83" s="155"/>
      <c r="F83" s="155"/>
      <c r="G83" s="155"/>
      <c r="H83" s="155"/>
      <c r="I83" s="155"/>
      <c r="J83" s="155"/>
      <c r="K83" s="155"/>
      <c r="L83" s="155"/>
      <c r="M83" s="155"/>
      <c r="N83" s="155"/>
      <c r="O83" s="155"/>
      <c r="P83" s="155"/>
      <c r="Q83" s="155"/>
      <c r="R83" s="155"/>
      <c r="S83" s="155"/>
      <c r="T83" s="155"/>
    </row>
    <row r="84" customFormat="false" ht="22.5" hidden="false" customHeight="true" outlineLevel="0" collapsed="false">
      <c r="C84" s="155"/>
      <c r="D84" s="155"/>
      <c r="E84" s="155"/>
      <c r="F84" s="155"/>
      <c r="G84" s="155"/>
      <c r="H84" s="155"/>
      <c r="I84" s="155"/>
      <c r="J84" s="155"/>
      <c r="K84" s="155"/>
      <c r="L84" s="155"/>
      <c r="M84" s="155"/>
      <c r="N84" s="155"/>
      <c r="O84" s="155"/>
      <c r="P84" s="155"/>
      <c r="Q84" s="155"/>
      <c r="R84" s="155"/>
      <c r="S84" s="155"/>
      <c r="T84" s="155"/>
    </row>
    <row r="85" customFormat="false" ht="39.75" hidden="false" customHeight="true" outlineLevel="0" collapsed="false">
      <c r="C85" s="97" t="s">
        <v>1113</v>
      </c>
      <c r="D85" s="97" t="s">
        <v>1114</v>
      </c>
      <c r="E85" s="97" t="s">
        <v>1115</v>
      </c>
      <c r="F85" s="97" t="s">
        <v>1116</v>
      </c>
      <c r="G85" s="97" t="s">
        <v>1117</v>
      </c>
      <c r="H85" s="97" t="s">
        <v>1118</v>
      </c>
      <c r="I85" s="97" t="s">
        <v>1119</v>
      </c>
      <c r="J85" s="97" t="s">
        <v>1120</v>
      </c>
      <c r="K85" s="97" t="s">
        <v>1121</v>
      </c>
      <c r="L85" s="97" t="s">
        <v>1122</v>
      </c>
      <c r="M85" s="97" t="s">
        <v>1123</v>
      </c>
      <c r="N85" s="155"/>
      <c r="O85" s="155"/>
      <c r="P85" s="155"/>
      <c r="Q85" s="155"/>
      <c r="R85" s="155"/>
      <c r="S85" s="155"/>
      <c r="T85" s="155"/>
    </row>
    <row r="86" customFormat="false" ht="22.5" hidden="false" customHeight="true" outlineLevel="0" collapsed="false">
      <c r="C86" s="165" t="n">
        <f aca="false">EOMONTH(C48,0)</f>
        <v>46356</v>
      </c>
      <c r="D86" s="153" t="n">
        <f aca="false">G48</f>
        <v>11376.8709957924</v>
      </c>
      <c r="E86" s="153" t="n">
        <f aca="false">0</f>
        <v>0</v>
      </c>
      <c r="F86" s="153" t="n">
        <f aca="false">D86-E86</f>
        <v>11376.8709957924</v>
      </c>
      <c r="G86" s="153" t="n">
        <f aca="false">M48</f>
        <v>0</v>
      </c>
      <c r="H86" s="153" t="n">
        <f aca="false">0</f>
        <v>0</v>
      </c>
      <c r="I86" s="153" t="n">
        <f aca="false">G86-H86</f>
        <v>0</v>
      </c>
      <c r="J86" s="166" t="n">
        <f aca="false">WORKDAY.INTL(C86,'W Assumptions'!$D$68,7)</f>
        <v>46377</v>
      </c>
      <c r="K86" s="166" t="n">
        <f aca="false">WORKDAY.INTL(J86,'W Assumptions'!$D$48,7)</f>
        <v>46398</v>
      </c>
      <c r="L86" s="166" t="n">
        <f aca="false">WORKDAY.INTL(J86,'W Assumptions'!$D$49,7)</f>
        <v>46419</v>
      </c>
      <c r="M86" s="153" t="n">
        <f aca="false">SUM(F86,I86)</f>
        <v>11376.8709957924</v>
      </c>
      <c r="N86" s="155"/>
      <c r="O86" s="155"/>
      <c r="P86" s="155"/>
      <c r="Q86" s="155"/>
      <c r="R86" s="155"/>
      <c r="S86" s="155"/>
      <c r="T86" s="155"/>
    </row>
    <row r="87" customFormat="false" ht="22.5" hidden="false" customHeight="true" outlineLevel="0" collapsed="false">
      <c r="C87" s="165" t="n">
        <f aca="false">EOMONTH(C51,0)</f>
        <v>46446</v>
      </c>
      <c r="D87" s="153" t="n">
        <f aca="false">G51</f>
        <v>58927.7395051092</v>
      </c>
      <c r="E87" s="153" t="n">
        <f aca="false">D86</f>
        <v>11376.8709957924</v>
      </c>
      <c r="F87" s="153" t="n">
        <f aca="false">D87-E87</f>
        <v>47550.8685093168</v>
      </c>
      <c r="G87" s="153" t="n">
        <f aca="false">M51</f>
        <v>15756.7697368421</v>
      </c>
      <c r="H87" s="153" t="n">
        <f aca="false">G86</f>
        <v>0</v>
      </c>
      <c r="I87" s="153" t="n">
        <f aca="false">G87-H87</f>
        <v>15756.7697368421</v>
      </c>
      <c r="J87" s="166" t="n">
        <f aca="false">WORKDAY.INTL(C87,'W Assumptions'!$D$68,7)</f>
        <v>46467</v>
      </c>
      <c r="K87" s="166" t="n">
        <f aca="false">WORKDAY.INTL(J87,'W Assumptions'!$D$48,7)</f>
        <v>46488</v>
      </c>
      <c r="L87" s="166" t="n">
        <f aca="false">WORKDAY.INTL(J87,'W Assumptions'!$D$49,7)</f>
        <v>46509</v>
      </c>
      <c r="M87" s="153" t="n">
        <f aca="false">SUM(F87,I87)</f>
        <v>63307.6382461589</v>
      </c>
      <c r="N87" s="155"/>
      <c r="O87" s="155"/>
      <c r="P87" s="155"/>
      <c r="Q87" s="155"/>
      <c r="R87" s="155"/>
      <c r="S87" s="155"/>
      <c r="T87" s="155"/>
    </row>
    <row r="88" customFormat="false" ht="22.5" hidden="false" customHeight="true" outlineLevel="0" collapsed="false">
      <c r="C88" s="165" t="n">
        <f aca="false">EOMONTH(C54,0)</f>
        <v>46538</v>
      </c>
      <c r="D88" s="153" t="n">
        <f aca="false">G54</f>
        <v>130783.519939892</v>
      </c>
      <c r="E88" s="153" t="n">
        <f aca="false">D87</f>
        <v>58927.7395051092</v>
      </c>
      <c r="F88" s="153" t="n">
        <f aca="false">D88-E88</f>
        <v>71855.7804347826</v>
      </c>
      <c r="G88" s="153" t="n">
        <f aca="false">M54</f>
        <v>33618.5723684211</v>
      </c>
      <c r="H88" s="153" t="n">
        <f aca="false">G87</f>
        <v>15756.7697368421</v>
      </c>
      <c r="I88" s="153" t="n">
        <f aca="false">G88-H88</f>
        <v>17861.8026315789</v>
      </c>
      <c r="J88" s="166" t="n">
        <f aca="false">WORKDAY.INTL(C88,'W Assumptions'!$D$68,7)</f>
        <v>46559</v>
      </c>
      <c r="K88" s="166" t="n">
        <f aca="false">WORKDAY.INTL(J88,'W Assumptions'!$D$48,7)</f>
        <v>46580</v>
      </c>
      <c r="L88" s="166" t="n">
        <f aca="false">WORKDAY.INTL(J88,'W Assumptions'!$D$49,7)</f>
        <v>46601</v>
      </c>
      <c r="M88" s="153" t="n">
        <f aca="false">SUM(F88,I88)</f>
        <v>89717.5830663616</v>
      </c>
      <c r="N88" s="155"/>
      <c r="O88" s="155"/>
      <c r="P88" s="155"/>
      <c r="Q88" s="155"/>
      <c r="R88" s="155"/>
      <c r="S88" s="155"/>
      <c r="T88" s="155"/>
    </row>
    <row r="89" customFormat="false" ht="22.5" hidden="false" customHeight="true" outlineLevel="0" collapsed="false">
      <c r="C89" s="165" t="n">
        <f aca="false">EOMONTH(C57,0)</f>
        <v>46630</v>
      </c>
      <c r="D89" s="153" t="n">
        <f aca="false">G57</f>
        <v>196561.846026848</v>
      </c>
      <c r="E89" s="153" t="n">
        <f aca="false">D88</f>
        <v>130783.519939892</v>
      </c>
      <c r="F89" s="153" t="n">
        <f aca="false">D89-E89</f>
        <v>65778.3260869566</v>
      </c>
      <c r="G89" s="153" t="n">
        <f aca="false">M57</f>
        <v>51480.375</v>
      </c>
      <c r="H89" s="153" t="n">
        <f aca="false">G88</f>
        <v>33618.5723684211</v>
      </c>
      <c r="I89" s="153" t="n">
        <f aca="false">G89-H89</f>
        <v>17861.8026315789</v>
      </c>
      <c r="J89" s="166" t="n">
        <f aca="false">WORKDAY.INTL(C89,'W Assumptions'!$D$68,7)</f>
        <v>46651</v>
      </c>
      <c r="K89" s="166" t="n">
        <f aca="false">WORKDAY.INTL(J89,'W Assumptions'!$D$48,7)</f>
        <v>46672</v>
      </c>
      <c r="L89" s="166" t="n">
        <f aca="false">WORKDAY.INTL(J89,'W Assumptions'!$D$49,7)</f>
        <v>46693</v>
      </c>
      <c r="M89" s="153" t="n">
        <f aca="false">SUM(F89,I89)</f>
        <v>83640.1287185355</v>
      </c>
      <c r="N89" s="155"/>
      <c r="O89" s="155"/>
      <c r="P89" s="155"/>
      <c r="Q89" s="155"/>
      <c r="R89" s="155"/>
      <c r="S89" s="155"/>
      <c r="T89" s="155"/>
    </row>
    <row r="90" customFormat="false" ht="22.5" hidden="false" customHeight="true" outlineLevel="0" collapsed="false">
      <c r="C90" s="165" t="n">
        <f aca="false">EOMONTH(C60,0)</f>
        <v>46721</v>
      </c>
      <c r="D90" s="153" t="n">
        <f aca="false">G60</f>
        <v>81830.9022152174</v>
      </c>
      <c r="E90" s="153" t="n">
        <f aca="false">0</f>
        <v>0</v>
      </c>
      <c r="F90" s="153" t="n">
        <f aca="false">D90-E90</f>
        <v>81830.9022152174</v>
      </c>
      <c r="G90" s="153" t="n">
        <f aca="false">M60</f>
        <v>42994.125</v>
      </c>
      <c r="H90" s="153" t="n">
        <f aca="false">0</f>
        <v>0</v>
      </c>
      <c r="I90" s="153" t="n">
        <f aca="false">G90-H90</f>
        <v>42994.125</v>
      </c>
      <c r="J90" s="166" t="n">
        <f aca="false">WORKDAY.INTL(C90,'W Assumptions'!$D$68,7)</f>
        <v>46742</v>
      </c>
      <c r="K90" s="166" t="n">
        <f aca="false">WORKDAY.INTL(J90,'W Assumptions'!$D$48,7)</f>
        <v>46763</v>
      </c>
      <c r="L90" s="166" t="n">
        <f aca="false">WORKDAY.INTL(J90,'W Assumptions'!$D$49,7)</f>
        <v>46784</v>
      </c>
      <c r="M90" s="153" t="n">
        <f aca="false">SUM(F90,I90)</f>
        <v>124825.027215217</v>
      </c>
      <c r="N90" s="155"/>
      <c r="O90" s="155"/>
      <c r="P90" s="155"/>
      <c r="Q90" s="155"/>
      <c r="R90" s="155"/>
      <c r="S90" s="155"/>
      <c r="T90" s="155"/>
    </row>
    <row r="91" customFormat="false" ht="22.5" hidden="false" customHeight="true" outlineLevel="0" collapsed="false">
      <c r="C91" s="165" t="n">
        <f aca="false">EOMONTH(C63,0)</f>
        <v>46812</v>
      </c>
      <c r="D91" s="153" t="n">
        <f aca="false">G63</f>
        <v>181464.087719565</v>
      </c>
      <c r="E91" s="153" t="n">
        <f aca="false">D90</f>
        <v>81830.9022152174</v>
      </c>
      <c r="F91" s="153" t="n">
        <f aca="false">D91-E91</f>
        <v>99633.1855043478</v>
      </c>
      <c r="G91" s="153" t="n">
        <f aca="false">M63</f>
        <v>85988.25</v>
      </c>
      <c r="H91" s="153" t="n">
        <f aca="false">G90</f>
        <v>42994.125</v>
      </c>
      <c r="I91" s="153" t="n">
        <f aca="false">G91-H91</f>
        <v>42994.125</v>
      </c>
      <c r="J91" s="166" t="n">
        <f aca="false">WORKDAY.INTL(C91,'W Assumptions'!$D$68,7)</f>
        <v>46833</v>
      </c>
      <c r="K91" s="166" t="n">
        <f aca="false">WORKDAY.INTL(J91,'W Assumptions'!$D$48,7)</f>
        <v>46854</v>
      </c>
      <c r="L91" s="166" t="n">
        <f aca="false">WORKDAY.INTL(J91,'W Assumptions'!$D$49,7)</f>
        <v>46875</v>
      </c>
      <c r="M91" s="153" t="n">
        <f aca="false">SUM(F91,I91)</f>
        <v>142627.310504348</v>
      </c>
      <c r="N91" s="155"/>
      <c r="O91" s="155"/>
      <c r="P91" s="155"/>
      <c r="Q91" s="155"/>
      <c r="R91" s="155"/>
      <c r="S91" s="155"/>
      <c r="T91" s="155"/>
    </row>
    <row r="92" customFormat="false" ht="22.5" hidden="false" customHeight="true" outlineLevel="0" collapsed="false">
      <c r="C92" s="165" t="n">
        <f aca="false">EOMONTH(C66,0)</f>
        <v>46904</v>
      </c>
      <c r="D92" s="153" t="n">
        <f aca="false">G66</f>
        <v>269306.569934783</v>
      </c>
      <c r="E92" s="153" t="n">
        <f aca="false">D91</f>
        <v>181464.087719565</v>
      </c>
      <c r="F92" s="153" t="n">
        <f aca="false">D92-E92</f>
        <v>87842.4822152174</v>
      </c>
      <c r="G92" s="153" t="n">
        <f aca="false">M66</f>
        <v>128982.375</v>
      </c>
      <c r="H92" s="153" t="n">
        <f aca="false">G91</f>
        <v>85988.25</v>
      </c>
      <c r="I92" s="153" t="n">
        <f aca="false">G92-H92</f>
        <v>42994.125</v>
      </c>
      <c r="J92" s="166" t="n">
        <f aca="false">WORKDAY.INTL(C92,'W Assumptions'!$D$68,7)</f>
        <v>46925</v>
      </c>
      <c r="K92" s="166" t="n">
        <f aca="false">WORKDAY.INTL(J92,'W Assumptions'!$D$48,7)</f>
        <v>46946</v>
      </c>
      <c r="L92" s="166" t="n">
        <f aca="false">WORKDAY.INTL(J92,'W Assumptions'!$D$49,7)</f>
        <v>46967</v>
      </c>
      <c r="M92" s="153" t="n">
        <f aca="false">SUM(F92,I92)</f>
        <v>130836.607215217</v>
      </c>
      <c r="N92" s="155"/>
      <c r="O92" s="155"/>
      <c r="P92" s="155"/>
      <c r="Q92" s="155"/>
      <c r="R92" s="155"/>
      <c r="S92" s="155"/>
      <c r="T92" s="155"/>
    </row>
    <row r="93" customFormat="false" ht="22.5" hidden="false" customHeight="true" outlineLevel="0" collapsed="false">
      <c r="C93" s="165" t="n">
        <f aca="false">EOMONTH(C69,0)</f>
        <v>46996</v>
      </c>
      <c r="D93" s="153" t="n">
        <f aca="false">G69</f>
        <v>347473.489391305</v>
      </c>
      <c r="E93" s="153" t="n">
        <f aca="false">D92</f>
        <v>269306.569934783</v>
      </c>
      <c r="F93" s="153" t="n">
        <f aca="false">D93-E93</f>
        <v>78166.9194565218</v>
      </c>
      <c r="G93" s="153" t="n">
        <f aca="false">M69</f>
        <v>171976.5</v>
      </c>
      <c r="H93" s="153" t="n">
        <f aca="false">G92</f>
        <v>128982.375</v>
      </c>
      <c r="I93" s="153" t="n">
        <f aca="false">G93-H93</f>
        <v>42994.125</v>
      </c>
      <c r="J93" s="166" t="n">
        <f aca="false">WORKDAY.INTL(C93,'W Assumptions'!$D$68,7)</f>
        <v>47017</v>
      </c>
      <c r="K93" s="166" t="n">
        <f aca="false">WORKDAY.INTL(J93,'W Assumptions'!$D$48,7)</f>
        <v>47038</v>
      </c>
      <c r="L93" s="166" t="n">
        <f aca="false">WORKDAY.INTL(J93,'W Assumptions'!$D$49,7)</f>
        <v>47059</v>
      </c>
      <c r="M93" s="153" t="n">
        <f aca="false">SUM(F93,I93)</f>
        <v>121161.044456522</v>
      </c>
      <c r="N93" s="155"/>
      <c r="O93" s="155"/>
      <c r="P93" s="155"/>
      <c r="Q93" s="155"/>
      <c r="R93" s="155"/>
      <c r="S93" s="155"/>
      <c r="T93" s="155"/>
    </row>
    <row r="94" customFormat="false" ht="22.5" hidden="false" customHeight="true" outlineLevel="0" collapsed="false">
      <c r="C94" s="165" t="n">
        <f aca="false">EOMONTH(C72,0)</f>
        <v>47087</v>
      </c>
      <c r="D94" s="153" t="n">
        <f aca="false">G72</f>
        <v>94885.7696962078</v>
      </c>
      <c r="E94" s="153" t="n">
        <f aca="false">0</f>
        <v>0</v>
      </c>
      <c r="F94" s="153" t="n">
        <f aca="false">D94-E94</f>
        <v>94885.7696962078</v>
      </c>
      <c r="G94" s="153" t="n">
        <f aca="false">M72</f>
        <v>88938.9375</v>
      </c>
      <c r="H94" s="153" t="n">
        <f aca="false">0</f>
        <v>0</v>
      </c>
      <c r="I94" s="153" t="n">
        <f aca="false">G94-H94</f>
        <v>88938.9375</v>
      </c>
      <c r="J94" s="166" t="n">
        <f aca="false">WORKDAY.INTL(C94,'W Assumptions'!$D$68,7)</f>
        <v>47108</v>
      </c>
      <c r="K94" s="166" t="n">
        <f aca="false">WORKDAY.INTL(J94,'W Assumptions'!$D$48,7)</f>
        <v>47129</v>
      </c>
      <c r="L94" s="166" t="n">
        <f aca="false">WORKDAY.INTL(J94,'W Assumptions'!$D$49,7)</f>
        <v>47150</v>
      </c>
      <c r="M94" s="153" t="n">
        <f aca="false">SUM(F94,I94)</f>
        <v>183824.707196208</v>
      </c>
      <c r="N94" s="155"/>
      <c r="O94" s="155"/>
      <c r="P94" s="155"/>
      <c r="Q94" s="155"/>
      <c r="R94" s="155"/>
      <c r="S94" s="155"/>
      <c r="T94" s="155"/>
    </row>
    <row r="95" customFormat="false" ht="22.5" hidden="false" customHeight="true" outlineLevel="0" collapsed="false">
      <c r="C95" s="165" t="n">
        <f aca="false">EOMONTH(C75,0)</f>
        <v>47177</v>
      </c>
      <c r="D95" s="153" t="n">
        <f aca="false">G75</f>
        <v>208744.805331244</v>
      </c>
      <c r="E95" s="153" t="n">
        <f aca="false">D94</f>
        <v>94885.7696962078</v>
      </c>
      <c r="F95" s="153" t="n">
        <f aca="false">D95-E95</f>
        <v>113859.035635037</v>
      </c>
      <c r="G95" s="153" t="n">
        <f aca="false">M75</f>
        <v>177877.875</v>
      </c>
      <c r="H95" s="153" t="n">
        <f aca="false">G94</f>
        <v>88938.9375</v>
      </c>
      <c r="I95" s="153" t="n">
        <f aca="false">G95-H95</f>
        <v>88938.9375</v>
      </c>
      <c r="J95" s="166" t="n">
        <f aca="false">WORKDAY.INTL(C95,'W Assumptions'!$D$68,7)</f>
        <v>47198</v>
      </c>
      <c r="K95" s="166" t="n">
        <f aca="false">WORKDAY.INTL(J95,'W Assumptions'!$D$48,7)</f>
        <v>47219</v>
      </c>
      <c r="L95" s="166" t="n">
        <f aca="false">WORKDAY.INTL(J95,'W Assumptions'!$D$49,7)</f>
        <v>47240</v>
      </c>
      <c r="M95" s="153" t="n">
        <f aca="false">SUM(F95,I95)</f>
        <v>202797.973135037</v>
      </c>
      <c r="N95" s="155"/>
      <c r="O95" s="155"/>
      <c r="P95" s="155"/>
      <c r="Q95" s="155"/>
      <c r="R95" s="155"/>
      <c r="S95" s="155"/>
      <c r="T95" s="155"/>
    </row>
    <row r="96" customFormat="false" ht="22.5" hidden="false" customHeight="true" outlineLevel="0" collapsed="false">
      <c r="C96" s="165" t="n">
        <f aca="false">EOMONTH(C78,0)</f>
        <v>47269</v>
      </c>
      <c r="D96" s="153" t="n">
        <f aca="false">G78</f>
        <v>310199.409827452</v>
      </c>
      <c r="E96" s="153" t="n">
        <f aca="false">D95</f>
        <v>208744.805331244</v>
      </c>
      <c r="F96" s="153" t="n">
        <f aca="false">D96-E96</f>
        <v>101454.604496208</v>
      </c>
      <c r="G96" s="153" t="n">
        <f aca="false">M78</f>
        <v>266816.8125</v>
      </c>
      <c r="H96" s="153" t="n">
        <f aca="false">G95</f>
        <v>177877.875</v>
      </c>
      <c r="I96" s="153" t="n">
        <f aca="false">G96-H96</f>
        <v>88938.9375</v>
      </c>
      <c r="J96" s="166" t="n">
        <f aca="false">WORKDAY.INTL(C96,'W Assumptions'!$D$68,7)</f>
        <v>47290</v>
      </c>
      <c r="K96" s="166" t="n">
        <f aca="false">WORKDAY.INTL(J96,'W Assumptions'!$D$48,7)</f>
        <v>47311</v>
      </c>
      <c r="L96" s="166" t="n">
        <f aca="false">WORKDAY.INTL(J96,'W Assumptions'!$D$49,7)</f>
        <v>47332</v>
      </c>
      <c r="M96" s="153" t="n">
        <f aca="false">SUM(F96,I96)</f>
        <v>190393.541996208</v>
      </c>
      <c r="N96" s="155"/>
      <c r="O96" s="155"/>
      <c r="P96" s="155"/>
      <c r="Q96" s="155"/>
      <c r="R96" s="155"/>
      <c r="S96" s="155"/>
      <c r="T96" s="155"/>
    </row>
    <row r="97" customFormat="false" ht="22.5" hidden="false" customHeight="true" outlineLevel="0" collapsed="false">
      <c r="C97" s="165" t="n">
        <f aca="false">EOMONTH(C81,0)</f>
        <v>47361</v>
      </c>
      <c r="D97" s="153" t="n">
        <f aca="false">G81</f>
        <v>400060.924318887</v>
      </c>
      <c r="E97" s="153" t="n">
        <f aca="false">D96</f>
        <v>310199.409827452</v>
      </c>
      <c r="F97" s="153" t="n">
        <f aca="false">D97-E97</f>
        <v>89861.5144914348</v>
      </c>
      <c r="G97" s="153" t="n">
        <f aca="false">M81</f>
        <v>355755.75</v>
      </c>
      <c r="H97" s="153" t="n">
        <f aca="false">G96</f>
        <v>266816.8125</v>
      </c>
      <c r="I97" s="153" t="n">
        <f aca="false">G97-H97</f>
        <v>88938.9375</v>
      </c>
      <c r="J97" s="166" t="n">
        <f aca="false">WORKDAY.INTL(C97,'W Assumptions'!$D$68,7)</f>
        <v>47381</v>
      </c>
      <c r="K97" s="166" t="n">
        <f aca="false">WORKDAY.INTL(J97,'W Assumptions'!$D$48,7)</f>
        <v>47402</v>
      </c>
      <c r="L97" s="166" t="n">
        <f aca="false">WORKDAY.INTL(J97,'W Assumptions'!$D$49,7)</f>
        <v>47423</v>
      </c>
      <c r="M97" s="153" t="n">
        <f aca="false">SUM(F97,I97)</f>
        <v>178800.451991435</v>
      </c>
      <c r="N97" s="155"/>
      <c r="O97" s="155"/>
      <c r="P97" s="155"/>
      <c r="Q97" s="155"/>
      <c r="R97" s="155"/>
      <c r="S97" s="155"/>
      <c r="T97" s="155"/>
    </row>
    <row r="98" customFormat="false" ht="22.5" hidden="false" customHeight="true" outlineLevel="0" collapsed="false">
      <c r="C98" s="155"/>
      <c r="D98" s="155"/>
      <c r="E98" s="155"/>
      <c r="F98" s="155"/>
      <c r="G98" s="155"/>
      <c r="H98" s="155"/>
      <c r="I98" s="155"/>
      <c r="J98" s="155"/>
      <c r="K98" s="155"/>
      <c r="L98" s="155"/>
      <c r="M98" s="155"/>
      <c r="N98" s="155"/>
      <c r="O98" s="155"/>
      <c r="P98" s="155"/>
      <c r="Q98" s="155"/>
      <c r="R98" s="155"/>
      <c r="S98" s="155"/>
      <c r="T98" s="155"/>
    </row>
    <row r="99" customFormat="false" ht="22.5" hidden="false" customHeight="true" outlineLevel="0" collapsed="false">
      <c r="C99" s="155"/>
      <c r="D99" s="155"/>
      <c r="E99" s="155"/>
      <c r="F99" s="155"/>
      <c r="G99" s="155"/>
      <c r="H99" s="155"/>
      <c r="I99" s="155"/>
      <c r="J99" s="155"/>
      <c r="K99" s="155"/>
      <c r="L99" s="155"/>
      <c r="M99" s="155"/>
      <c r="N99" s="155"/>
      <c r="O99" s="155"/>
      <c r="P99" s="155"/>
      <c r="Q99" s="155"/>
      <c r="R99" s="155"/>
      <c r="S99" s="155"/>
      <c r="T99" s="155"/>
    </row>
    <row r="100" customFormat="false" ht="22.5" hidden="false" customHeight="true" outlineLevel="0" collapsed="false">
      <c r="C100" s="155"/>
      <c r="D100" s="155"/>
      <c r="E100" s="155"/>
      <c r="F100" s="155"/>
      <c r="G100" s="155"/>
      <c r="H100" s="155"/>
      <c r="I100" s="155"/>
      <c r="J100" s="155"/>
      <c r="K100" s="155"/>
      <c r="L100" s="155"/>
      <c r="M100" s="155"/>
      <c r="N100" s="155"/>
      <c r="O100" s="155"/>
      <c r="P100" s="155"/>
      <c r="Q100" s="155"/>
      <c r="R100" s="155"/>
      <c r="S100" s="155"/>
      <c r="T100" s="155"/>
    </row>
    <row r="101" customFormat="false" ht="22.5" hidden="false" customHeight="true" outlineLevel="0" collapsed="false">
      <c r="C101" s="104" t="s">
        <v>1124</v>
      </c>
      <c r="D101" s="155"/>
      <c r="E101" s="155"/>
      <c r="F101" s="155"/>
      <c r="G101" s="155"/>
      <c r="H101" s="155"/>
      <c r="I101" s="155"/>
      <c r="J101" s="155"/>
      <c r="K101" s="155"/>
      <c r="L101" s="155"/>
      <c r="M101" s="155"/>
      <c r="N101" s="155"/>
      <c r="O101" s="155"/>
      <c r="P101" s="155"/>
      <c r="Q101" s="155"/>
      <c r="R101" s="155"/>
      <c r="S101" s="155"/>
      <c r="T101" s="155"/>
    </row>
    <row r="102" customFormat="false" ht="22.5" hidden="false" customHeight="true" outlineLevel="0" collapsed="false">
      <c r="C102" s="104" t="s">
        <v>1125</v>
      </c>
      <c r="D102" s="155"/>
      <c r="E102" s="155"/>
      <c r="F102" s="155"/>
      <c r="G102" s="155"/>
      <c r="H102" s="155"/>
      <c r="I102" s="155"/>
      <c r="J102" s="155"/>
      <c r="K102" s="155"/>
      <c r="L102" s="155"/>
      <c r="M102" s="155"/>
      <c r="N102" s="155"/>
      <c r="O102" s="155"/>
      <c r="P102" s="155"/>
      <c r="Q102" s="155"/>
      <c r="R102" s="155"/>
      <c r="S102" s="155"/>
      <c r="T102" s="155"/>
    </row>
    <row r="103" customFormat="false" ht="22.5" hidden="false" customHeight="true" outlineLevel="0" collapsed="false">
      <c r="C103" s="104" t="s">
        <v>1126</v>
      </c>
      <c r="D103" s="155"/>
      <c r="E103" s="155"/>
      <c r="F103" s="155"/>
      <c r="G103" s="155"/>
      <c r="H103" s="155"/>
      <c r="I103" s="155"/>
      <c r="J103" s="155"/>
      <c r="K103" s="155"/>
      <c r="L103" s="155"/>
      <c r="M103" s="155"/>
      <c r="N103" s="155"/>
      <c r="O103" s="155"/>
      <c r="P103" s="155"/>
      <c r="Q103" s="155"/>
      <c r="R103" s="155"/>
      <c r="S103" s="155"/>
      <c r="T103" s="155"/>
    </row>
    <row r="104" customFormat="false" ht="22.5" hidden="false" customHeight="true" outlineLevel="0" collapsed="false">
      <c r="C104" s="104" t="s">
        <v>1127</v>
      </c>
      <c r="D104" s="155"/>
      <c r="E104" s="155"/>
      <c r="F104" s="155"/>
      <c r="G104" s="155"/>
      <c r="H104" s="155"/>
      <c r="I104" s="155"/>
      <c r="J104" s="155"/>
      <c r="K104" s="155"/>
      <c r="L104" s="155"/>
      <c r="M104" s="155"/>
      <c r="N104" s="155"/>
      <c r="O104" s="155"/>
      <c r="P104" s="155"/>
      <c r="Q104" s="155"/>
      <c r="R104" s="155"/>
      <c r="S104" s="155"/>
      <c r="T104" s="155"/>
    </row>
    <row r="105" customFormat="false" ht="22.5" hidden="false" customHeight="true" outlineLevel="0" collapsed="false">
      <c r="C105" s="104" t="s">
        <v>1128</v>
      </c>
      <c r="D105" s="155"/>
      <c r="E105" s="155"/>
      <c r="F105" s="155"/>
      <c r="G105" s="155"/>
      <c r="H105" s="155"/>
      <c r="I105" s="155"/>
      <c r="J105" s="155"/>
      <c r="K105" s="155"/>
      <c r="L105" s="155"/>
      <c r="M105" s="155"/>
      <c r="N105" s="155"/>
      <c r="O105" s="155"/>
      <c r="P105" s="155"/>
      <c r="Q105" s="155"/>
      <c r="R105" s="155"/>
      <c r="S105" s="155"/>
      <c r="T105" s="155"/>
    </row>
    <row r="106" customFormat="false" ht="22.5" hidden="false" customHeight="true" outlineLevel="0" collapsed="false">
      <c r="C106" s="104" t="s">
        <v>1129</v>
      </c>
      <c r="D106" s="155"/>
      <c r="E106" s="155"/>
      <c r="F106" s="155"/>
      <c r="G106" s="155"/>
      <c r="H106" s="155"/>
      <c r="I106" s="155"/>
      <c r="J106" s="155"/>
      <c r="K106" s="155"/>
      <c r="L106" s="155"/>
      <c r="M106" s="155"/>
      <c r="N106" s="155"/>
      <c r="O106" s="155"/>
      <c r="P106" s="155"/>
      <c r="Q106" s="155"/>
      <c r="R106" s="155"/>
      <c r="S106" s="155"/>
      <c r="T106" s="155"/>
    </row>
    <row r="107" customFormat="false" ht="22.5" hidden="false" customHeight="true" outlineLevel="0" collapsed="false">
      <c r="C107" s="104" t="s">
        <v>1130</v>
      </c>
      <c r="D107" s="155"/>
      <c r="E107" s="155"/>
      <c r="F107" s="155"/>
      <c r="G107" s="155"/>
      <c r="H107" s="155"/>
      <c r="I107" s="155"/>
      <c r="J107" s="155"/>
      <c r="K107" s="155"/>
      <c r="L107" s="155"/>
      <c r="M107" s="155"/>
      <c r="N107" s="155"/>
      <c r="O107" s="155"/>
      <c r="P107" s="155"/>
      <c r="Q107" s="155"/>
      <c r="R107" s="155"/>
      <c r="S107" s="155"/>
      <c r="T107" s="155"/>
    </row>
    <row r="108" customFormat="false" ht="22.5" hidden="false" customHeight="true" outlineLevel="0" collapsed="false">
      <c r="C108" s="155"/>
      <c r="D108" s="155"/>
      <c r="E108" s="155"/>
      <c r="F108" s="155"/>
      <c r="G108" s="155"/>
      <c r="H108" s="155"/>
      <c r="I108" s="155"/>
      <c r="J108" s="155"/>
      <c r="K108" s="155"/>
      <c r="L108" s="155"/>
      <c r="M108" s="155"/>
      <c r="N108" s="155"/>
      <c r="O108" s="155"/>
      <c r="P108" s="155"/>
      <c r="Q108" s="155"/>
      <c r="R108" s="155"/>
      <c r="S108" s="155"/>
      <c r="T108" s="155"/>
    </row>
    <row r="109" customFormat="false" ht="22.5" hidden="false" customHeight="true" outlineLevel="0" collapsed="false">
      <c r="C109" s="155"/>
      <c r="D109" s="155"/>
      <c r="E109" s="155"/>
      <c r="F109" s="155"/>
      <c r="G109" s="155"/>
      <c r="H109" s="155"/>
      <c r="I109" s="155"/>
      <c r="J109" s="155"/>
      <c r="K109" s="155"/>
      <c r="L109" s="155"/>
      <c r="M109" s="155"/>
      <c r="N109" s="155"/>
      <c r="O109" s="155"/>
      <c r="P109" s="155"/>
      <c r="Q109" s="155"/>
      <c r="R109" s="155"/>
      <c r="S109" s="155"/>
      <c r="T109" s="155"/>
    </row>
    <row r="110" customFormat="false" ht="22.5" hidden="false" customHeight="true" outlineLevel="0" collapsed="false">
      <c r="C110" s="155"/>
      <c r="D110" s="155"/>
      <c r="E110" s="155"/>
      <c r="F110" s="155"/>
      <c r="G110" s="155"/>
      <c r="H110" s="155"/>
      <c r="I110" s="155"/>
      <c r="J110" s="155"/>
      <c r="K110" s="155"/>
      <c r="L110" s="155"/>
      <c r="M110" s="155"/>
      <c r="N110" s="155"/>
      <c r="O110" s="155"/>
      <c r="P110" s="155"/>
      <c r="Q110" s="155"/>
      <c r="R110" s="155"/>
      <c r="S110" s="155"/>
      <c r="T110" s="155"/>
    </row>
    <row r="111" customFormat="false" ht="22.5" hidden="false" customHeight="true" outlineLevel="0" collapsed="false">
      <c r="C111" s="155"/>
      <c r="D111" s="155"/>
      <c r="E111" s="155"/>
      <c r="F111" s="155"/>
      <c r="G111" s="155"/>
      <c r="H111" s="155"/>
      <c r="I111" s="155"/>
      <c r="J111" s="155"/>
      <c r="K111" s="155"/>
      <c r="L111" s="155"/>
      <c r="M111" s="155"/>
      <c r="N111" s="155"/>
      <c r="O111" s="155"/>
      <c r="P111" s="155"/>
      <c r="Q111" s="155"/>
      <c r="R111" s="155"/>
      <c r="S111" s="155"/>
      <c r="T111" s="155"/>
    </row>
    <row r="112" customFormat="false" ht="22.5" hidden="false" customHeight="true" outlineLevel="0" collapsed="false">
      <c r="C112" s="155"/>
      <c r="D112" s="155"/>
      <c r="E112" s="155"/>
      <c r="F112" s="155"/>
      <c r="G112" s="155"/>
      <c r="H112" s="155"/>
      <c r="I112" s="155"/>
      <c r="J112" s="155"/>
      <c r="K112" s="155"/>
      <c r="L112" s="155"/>
      <c r="M112" s="155"/>
      <c r="N112" s="155"/>
      <c r="O112" s="155"/>
      <c r="P112" s="155"/>
      <c r="Q112" s="155"/>
      <c r="R112" s="155"/>
      <c r="S112" s="155"/>
      <c r="T112" s="155"/>
    </row>
    <row r="113" customFormat="false" ht="22.5" hidden="false" customHeight="true" outlineLevel="0" collapsed="false">
      <c r="C113" s="155"/>
      <c r="D113" s="155"/>
      <c r="E113" s="155"/>
      <c r="F113" s="155"/>
      <c r="G113" s="155"/>
      <c r="H113" s="155"/>
      <c r="I113" s="155"/>
      <c r="J113" s="155"/>
      <c r="K113" s="155"/>
      <c r="L113" s="155"/>
      <c r="M113" s="155"/>
      <c r="N113" s="155"/>
      <c r="O113" s="155"/>
      <c r="P113" s="155"/>
      <c r="Q113" s="155"/>
      <c r="R113" s="155"/>
      <c r="S113" s="155"/>
      <c r="T113" s="155"/>
    </row>
    <row r="114" customFormat="false" ht="22.5" hidden="false" customHeight="true" outlineLevel="0" collapsed="false">
      <c r="C114" s="155"/>
      <c r="D114" s="155"/>
      <c r="E114" s="155"/>
      <c r="F114" s="155"/>
      <c r="G114" s="155"/>
      <c r="H114" s="155"/>
      <c r="I114" s="155"/>
      <c r="J114" s="155"/>
      <c r="K114" s="155"/>
      <c r="L114" s="155"/>
      <c r="M114" s="155"/>
      <c r="N114" s="155"/>
      <c r="O114" s="155"/>
      <c r="P114" s="155"/>
      <c r="Q114" s="155"/>
      <c r="R114" s="155"/>
      <c r="S114" s="155"/>
      <c r="T114" s="155"/>
    </row>
    <row r="115" customFormat="false" ht="22.5" hidden="false" customHeight="true" outlineLevel="0" collapsed="false">
      <c r="C115" s="155"/>
      <c r="D115" s="155"/>
      <c r="E115" s="155"/>
      <c r="F115" s="155"/>
      <c r="G115" s="155"/>
      <c r="H115" s="155"/>
      <c r="I115" s="155"/>
      <c r="J115" s="155"/>
      <c r="K115" s="155"/>
      <c r="L115" s="155"/>
      <c r="M115" s="155"/>
      <c r="N115" s="155"/>
      <c r="O115" s="155"/>
      <c r="P115" s="155"/>
      <c r="Q115" s="155"/>
      <c r="R115" s="155"/>
      <c r="S115" s="155"/>
      <c r="T115" s="15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8C1C6"/>
    <pageSetUpPr fitToPage="false"/>
  </sheetPr>
  <dimension ref="C1:AQ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2.5"/>
    <col collapsed="false" customWidth="true" hidden="false" outlineLevel="0" max="3" min="3" style="0" width="40"/>
    <col collapsed="false" customWidth="true" hidden="false" outlineLevel="0" max="6" min="4" style="0" width="14"/>
    <col collapsed="false" customWidth="true" hidden="false" outlineLevel="0" max="7" min="7" style="0" width="3"/>
    <col collapsed="false" customWidth="true" hidden="false" outlineLevel="0" max="43" min="8" style="0" width="14"/>
  </cols>
  <sheetData>
    <row r="1" customFormat="false" ht="21" hidden="false" customHeight="true" outlineLevel="0" collapsed="false"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</row>
    <row r="2" customFormat="false" ht="30" hidden="false" customHeight="true" outlineLevel="0" collapsed="false">
      <c r="C2" s="75" t="s">
        <v>1131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</row>
    <row r="3" customFormat="false" ht="21" hidden="false" customHeight="true" outlineLevel="0" collapsed="false"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</row>
    <row r="4" customFormat="false" ht="21" hidden="false" customHeight="true" outlineLevel="0" collapsed="false">
      <c r="C4" s="74" t="s">
        <v>580</v>
      </c>
      <c r="D4" s="77" t="str">
        <f aca="false">'W Assumptions'!D3</f>
        <v>Base</v>
      </c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</row>
    <row r="5" customFormat="false" ht="21" hidden="false" customHeight="true" outlineLevel="0" collapsed="false"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</row>
    <row r="6" customFormat="false" ht="33.75" hidden="false" customHeight="true" outlineLevel="0" collapsed="false">
      <c r="C6" s="78" t="s">
        <v>761</v>
      </c>
      <c r="D6" s="85" t="s">
        <v>715</v>
      </c>
      <c r="E6" s="85" t="s">
        <v>716</v>
      </c>
      <c r="F6" s="85" t="s">
        <v>717</v>
      </c>
      <c r="G6" s="79"/>
      <c r="H6" s="108" t="n">
        <v>46266</v>
      </c>
      <c r="I6" s="108" t="n">
        <v>46296</v>
      </c>
      <c r="J6" s="108" t="n">
        <v>46327</v>
      </c>
      <c r="K6" s="108" t="n">
        <v>46357</v>
      </c>
      <c r="L6" s="108" t="n">
        <v>46388</v>
      </c>
      <c r="M6" s="108" t="n">
        <v>46419</v>
      </c>
      <c r="N6" s="108" t="n">
        <v>46447</v>
      </c>
      <c r="O6" s="108" t="n">
        <v>46478</v>
      </c>
      <c r="P6" s="108" t="n">
        <v>46508</v>
      </c>
      <c r="Q6" s="108" t="n">
        <v>46539</v>
      </c>
      <c r="R6" s="108" t="n">
        <v>46569</v>
      </c>
      <c r="S6" s="108" t="n">
        <v>46600</v>
      </c>
      <c r="T6" s="108" t="n">
        <v>46631</v>
      </c>
      <c r="U6" s="108" t="n">
        <v>46661</v>
      </c>
      <c r="V6" s="108" t="n">
        <v>46692</v>
      </c>
      <c r="W6" s="108" t="n">
        <v>46722</v>
      </c>
      <c r="X6" s="108" t="n">
        <v>46753</v>
      </c>
      <c r="Y6" s="108" t="n">
        <v>46784</v>
      </c>
      <c r="Z6" s="108" t="n">
        <v>46813</v>
      </c>
      <c r="AA6" s="108" t="n">
        <v>46844</v>
      </c>
      <c r="AB6" s="108" t="n">
        <v>46874</v>
      </c>
      <c r="AC6" s="108" t="n">
        <v>46905</v>
      </c>
      <c r="AD6" s="108" t="n">
        <v>46935</v>
      </c>
      <c r="AE6" s="108" t="n">
        <v>46966</v>
      </c>
      <c r="AF6" s="108" t="n">
        <v>46997</v>
      </c>
      <c r="AG6" s="108" t="n">
        <v>47027</v>
      </c>
      <c r="AH6" s="108" t="n">
        <v>47058</v>
      </c>
      <c r="AI6" s="108" t="n">
        <v>47088</v>
      </c>
      <c r="AJ6" s="108" t="n">
        <v>47119</v>
      </c>
      <c r="AK6" s="108" t="n">
        <v>47150</v>
      </c>
      <c r="AL6" s="108" t="n">
        <v>47178</v>
      </c>
      <c r="AM6" s="108" t="n">
        <v>47209</v>
      </c>
      <c r="AN6" s="108" t="n">
        <v>47239</v>
      </c>
      <c r="AO6" s="108" t="n">
        <v>47270</v>
      </c>
      <c r="AP6" s="108" t="n">
        <v>47300</v>
      </c>
      <c r="AQ6" s="108" t="n">
        <v>47331</v>
      </c>
    </row>
    <row r="7" customFormat="false" ht="21" hidden="false" customHeight="true" outlineLevel="0" collapsed="false">
      <c r="C7" s="74" t="s">
        <v>1132</v>
      </c>
      <c r="D7" s="109" t="n">
        <f aca="false">SUM(H7:S7)</f>
        <v>12154864.5914691</v>
      </c>
      <c r="E7" s="109" t="n">
        <f aca="false">SUM(T7:AE7)</f>
        <v>17792786.0910609</v>
      </c>
      <c r="F7" s="109" t="n">
        <f aca="false">SUM(AF7:AQ7)</f>
        <v>19446712.1918026</v>
      </c>
      <c r="G7" s="79"/>
      <c r="H7" s="81" t="n">
        <f aca="false">'W Financial Model'!H7*'W Assumptions'!$D$54</f>
        <v>147592.355555556</v>
      </c>
      <c r="I7" s="81" t="n">
        <f aca="false">'W Financial Model'!I7*'W Assumptions'!$D$54+'W Financial Model'!H7*(1-'W Assumptions'!$D$54)</f>
        <v>458675.850422316</v>
      </c>
      <c r="J7" s="81" t="n">
        <f aca="false">'W Financial Model'!J7*'W Assumptions'!$D$54+'W Financial Model'!I7*(1-'W Assumptions'!$D$54)</f>
        <v>498966.514932211</v>
      </c>
      <c r="K7" s="81" t="n">
        <f aca="false">'W Financial Model'!K7*'W Assumptions'!$D$54+'W Financial Model'!J7*(1-'W Assumptions'!$D$54)</f>
        <v>1023875.07594203</v>
      </c>
      <c r="L7" s="81" t="n">
        <f aca="false">'W Financial Model'!L7*'W Assumptions'!$D$54+'W Financial Model'!K7*(1-'W Assumptions'!$D$54)</f>
        <v>1038791.93507246</v>
      </c>
      <c r="M7" s="81" t="n">
        <f aca="false">'W Financial Model'!M7*'W Assumptions'!$D$54+'W Financial Model'!L7*(1-'W Assumptions'!$D$54)</f>
        <v>959008.418550725</v>
      </c>
      <c r="N7" s="81" t="n">
        <f aca="false">'W Financial Model'!N7*'W Assumptions'!$D$54+'W Financial Model'!M7*(1-'W Assumptions'!$D$54)</f>
        <v>1455435.85258799</v>
      </c>
      <c r="O7" s="81" t="n">
        <f aca="false">'W Financial Model'!O7*'W Assumptions'!$D$54+'W Financial Model'!N7*(1-'W Assumptions'!$D$54)</f>
        <v>1463145.17681159</v>
      </c>
      <c r="P7" s="81" t="n">
        <f aca="false">'W Financial Model'!P7*'W Assumptions'!$D$54+'W Financial Model'!O7*(1-'W Assumptions'!$D$54)</f>
        <v>1180728.52463768</v>
      </c>
      <c r="Q7" s="81" t="n">
        <f aca="false">'W Financial Model'!Q7*'W Assumptions'!$D$54+'W Financial Model'!P7*(1-'W Assumptions'!$D$54)</f>
        <v>1265844.75072464</v>
      </c>
      <c r="R7" s="81" t="n">
        <f aca="false">'W Financial Model'!R7*'W Assumptions'!$D$54+'W Financial Model'!Q7*(1-'W Assumptions'!$D$54)</f>
        <v>1365327.02028986</v>
      </c>
      <c r="S7" s="81" t="n">
        <f aca="false">'W Financial Model'!S7*'W Assumptions'!$D$54+'W Financial Model'!R7*(1-'W Assumptions'!$D$54)</f>
        <v>1297473.11594203</v>
      </c>
      <c r="T7" s="81" t="n">
        <f aca="false">'W Financial Model'!T7*'W Assumptions'!$D$54+'W Financial Model'!S7*(1-'W Assumptions'!$D$54)</f>
        <v>1306741.19402899</v>
      </c>
      <c r="U7" s="81" t="n">
        <f aca="false">'W Financial Model'!U7*'W Assumptions'!$D$54+'W Financial Model'!T7*(1-'W Assumptions'!$D$54)</f>
        <v>1505578.43467246</v>
      </c>
      <c r="V7" s="81" t="n">
        <f aca="false">'W Financial Model'!V7*'W Assumptions'!$D$54+'W Financial Model'!U7*(1-'W Assumptions'!$D$54)</f>
        <v>1449537.74945507</v>
      </c>
      <c r="W7" s="81" t="n">
        <f aca="false">'W Financial Model'!W7*'W Assumptions'!$D$54+'W Financial Model'!V7*(1-'W Assumptions'!$D$54)</f>
        <v>1802158.22823768</v>
      </c>
      <c r="X7" s="81" t="n">
        <f aca="false">'W Financial Model'!X7*'W Assumptions'!$D$54+'W Financial Model'!W7*(1-'W Assumptions'!$D$54)</f>
        <v>1515626.83795942</v>
      </c>
      <c r="Y7" s="81" t="n">
        <f aca="false">'W Financial Model'!Y7*'W Assumptions'!$D$54+'W Financial Model'!X7*(1-'W Assumptions'!$D$54)</f>
        <v>1311012.87808116</v>
      </c>
      <c r="Z7" s="81" t="n">
        <f aca="false">'W Financial Model'!Z7*'W Assumptions'!$D$54+'W Financial Model'!Y7*(1-'W Assumptions'!$D$54)</f>
        <v>1652454.81235942</v>
      </c>
      <c r="AA7" s="81" t="n">
        <f aca="false">'W Financial Model'!AA7*'W Assumptions'!$D$54+'W Financial Model'!Z7*(1-'W Assumptions'!$D$54)</f>
        <v>1616114.61686377</v>
      </c>
      <c r="AB7" s="81" t="n">
        <f aca="false">'W Financial Model'!AB7*'W Assumptions'!$D$54+'W Financial Model'!AA7*(1-'W Assumptions'!$D$54)</f>
        <v>1313124.82208116</v>
      </c>
      <c r="AC7" s="81" t="n">
        <f aca="false">'W Financial Model'!AC7*'W Assumptions'!$D$54+'W Financial Model'!AB7*(1-'W Assumptions'!$D$54)</f>
        <v>1392108.08223768</v>
      </c>
      <c r="AD7" s="81" t="n">
        <f aca="false">'W Financial Model'!AD7*'W Assumptions'!$D$54+'W Financial Model'!AC7*(1-'W Assumptions'!$D$54)</f>
        <v>1497331.06585507</v>
      </c>
      <c r="AE7" s="81" t="n">
        <f aca="false">'W Financial Model'!AE7*'W Assumptions'!$D$54+'W Financial Model'!AD7*(1-'W Assumptions'!$D$54)</f>
        <v>1430997.36922899</v>
      </c>
      <c r="AF7" s="81" t="n">
        <f aca="false">'W Financial Model'!AF7*'W Assumptions'!$D$54+'W Financial Model'!AE7*(1-'W Assumptions'!$D$54)</f>
        <v>1434128.52074648</v>
      </c>
      <c r="AG7" s="81" t="n">
        <f aca="false">'W Financial Model'!AG7*'W Assumptions'!$D$54+'W Financial Model'!AF7*(1-'W Assumptions'!$D$54)</f>
        <v>1647030.76974138</v>
      </c>
      <c r="AH7" s="81" t="n">
        <f aca="false">'W Financial Model'!AH7*'W Assumptions'!$D$54+'W Financial Model'!AG7*(1-'W Assumptions'!$D$54)</f>
        <v>1589947.74012156</v>
      </c>
      <c r="AI7" s="81" t="n">
        <f aca="false">'W Financial Model'!AI7*'W Assumptions'!$D$54+'W Financial Model'!AH7*(1-'W Assumptions'!$D$54)</f>
        <v>1966045.54434173</v>
      </c>
      <c r="AJ7" s="81" t="n">
        <f aca="false">'W Financial Model'!AJ7*'W Assumptions'!$D$54+'W Financial Model'!AI7*(1-'W Assumptions'!$D$54)</f>
        <v>1657821.28302819</v>
      </c>
      <c r="AK7" s="81" t="n">
        <f aca="false">'W Financial Model'!AK7*'W Assumptions'!$D$54+'W Financial Model'!AJ7*(1-'W Assumptions'!$D$54)</f>
        <v>1438563.98691242</v>
      </c>
      <c r="AL7" s="81" t="n">
        <f aca="false">'W Financial Model'!AL7*'W Assumptions'!$D$54+'W Financial Model'!AK7*(1-'W Assumptions'!$D$54)</f>
        <v>1804993.42486595</v>
      </c>
      <c r="AM7" s="81" t="n">
        <f aca="false">'W Financial Model'!AM7*'W Assumptions'!$D$54+'W Financial Model'!AL7*(1-'W Assumptions'!$D$54)</f>
        <v>1764291.92673259</v>
      </c>
      <c r="AN7" s="81" t="n">
        <f aca="false">'W Financial Model'!AN7*'W Assumptions'!$D$54+'W Financial Model'!AM7*(1-'W Assumptions'!$D$54)</f>
        <v>1440802.64755242</v>
      </c>
      <c r="AO7" s="81" t="n">
        <f aca="false">'W Financial Model'!AO7*'W Assumptions'!$D$54+'W Financial Model'!AN7*(1-'W Assumptions'!$D$54)</f>
        <v>1515383.72227853</v>
      </c>
      <c r="AP7" s="81" t="n">
        <f aca="false">'W Financial Model'!AP7*'W Assumptions'!$D$54+'W Financial Model'!AO7*(1-'W Assumptions'!$D$54)</f>
        <v>1626734.47717612</v>
      </c>
      <c r="AQ7" s="81" t="n">
        <f aca="false">'W Financial Model'!AQ7*'W Assumptions'!$D$54+'W Financial Model'!AP7*(1-'W Assumptions'!$D$54)</f>
        <v>1560968.14830526</v>
      </c>
    </row>
    <row r="8" customFormat="false" ht="21" hidden="false" customHeight="true" outlineLevel="0" collapsed="false">
      <c r="C8" s="74" t="s">
        <v>1133</v>
      </c>
      <c r="D8" s="109" t="n">
        <f aca="false">SUM(H8:S8)</f>
        <v>778142.105263158</v>
      </c>
      <c r="E8" s="109" t="n">
        <f aca="false">SUM(T8:AE8)</f>
        <v>2752091.22807018</v>
      </c>
      <c r="F8" s="109" t="n">
        <f aca="false">SUM(AF8:AQ8)</f>
        <v>6461016.66666667</v>
      </c>
      <c r="G8" s="79"/>
      <c r="H8" s="81" t="n">
        <f aca="false">SUMIFS('W Program Monthly'!$L$6:$L$509,'W Program Monthly'!$C$6:$C$509,H$6, 'W Program Monthly'!$E$6:$E$509,"TLI")</f>
        <v>0</v>
      </c>
      <c r="I8" s="81" t="n">
        <f aca="false">SUMIFS('W Program Monthly'!$L$6:$L$509,'W Program Monthly'!$C$6:$C$509,I$6, 'W Program Monthly'!$E$6:$E$509,"TLI")</f>
        <v>10988.1578947368</v>
      </c>
      <c r="J8" s="81" t="n">
        <f aca="false">SUMIFS('W Program Monthly'!$L$6:$L$509,'W Program Monthly'!$C$6:$C$509,J$6, 'W Program Monthly'!$E$6:$E$509,"TLI")</f>
        <v>21976.3157894737</v>
      </c>
      <c r="K8" s="81" t="n">
        <f aca="false">SUMIFS('W Program Monthly'!$L$6:$L$509,'W Program Monthly'!$C$6:$C$509,K$6, 'W Program Monthly'!$E$6:$E$509,"TLI")</f>
        <v>44984.2105263158</v>
      </c>
      <c r="L8" s="81" t="n">
        <f aca="false">SUMIFS('W Program Monthly'!$L$6:$L$509,'W Program Monthly'!$C$6:$C$509,L$6, 'W Program Monthly'!$E$6:$E$509,"TLI")</f>
        <v>67992.1052631579</v>
      </c>
      <c r="M8" s="81" t="n">
        <f aca="false">SUMIFS('W Program Monthly'!$L$6:$L$509,'W Program Monthly'!$C$6:$C$509,M$6, 'W Program Monthly'!$E$6:$E$509,"TLI")</f>
        <v>80011.8421052632</v>
      </c>
      <c r="N8" s="81" t="n">
        <f aca="false">SUMIFS('W Program Monthly'!$L$6:$L$509,'W Program Monthly'!$C$6:$C$509,N$6, 'W Program Monthly'!$E$6:$E$509,"TLI")</f>
        <v>92031.5789473684</v>
      </c>
      <c r="O8" s="81" t="n">
        <f aca="false">SUMIFS('W Program Monthly'!$L$6:$L$509,'W Program Monthly'!$C$6:$C$509,O$6, 'W Program Monthly'!$E$6:$E$509,"TLI")</f>
        <v>92031.5789473684</v>
      </c>
      <c r="P8" s="81" t="n">
        <f aca="false">SUMIFS('W Program Monthly'!$L$6:$L$509,'W Program Monthly'!$C$6:$C$509,P$6, 'W Program Monthly'!$E$6:$E$509,"TLI")</f>
        <v>92031.5789473684</v>
      </c>
      <c r="Q8" s="81" t="n">
        <f aca="false">SUMIFS('W Program Monthly'!$L$6:$L$509,'W Program Monthly'!$C$6:$C$509,Q$6, 'W Program Monthly'!$E$6:$E$509,"TLI")</f>
        <v>92031.5789473684</v>
      </c>
      <c r="R8" s="81" t="n">
        <f aca="false">SUMIFS('W Program Monthly'!$L$6:$L$509,'W Program Monthly'!$C$6:$C$509,R$6, 'W Program Monthly'!$E$6:$E$509,"TLI")</f>
        <v>92031.5789473684</v>
      </c>
      <c r="S8" s="81" t="n">
        <f aca="false">SUMIFS('W Program Monthly'!$L$6:$L$509,'W Program Monthly'!$C$6:$C$509,S$6, 'W Program Monthly'!$E$6:$E$509,"TLI")</f>
        <v>92031.5789473684</v>
      </c>
      <c r="T8" s="81" t="n">
        <f aca="false">SUMIFS('W Program Monthly'!$L$6:$L$509,'W Program Monthly'!$C$6:$C$509,T$6, 'W Program Monthly'!$E$6:$E$509,"TLI")</f>
        <v>166878.947368421</v>
      </c>
      <c r="U8" s="81" t="n">
        <f aca="false">SUMIFS('W Program Monthly'!$L$6:$L$509,'W Program Monthly'!$C$6:$C$509,U$6, 'W Program Monthly'!$E$6:$E$509,"TLI")</f>
        <v>166878.947368421</v>
      </c>
      <c r="V8" s="81" t="n">
        <f aca="false">SUMIFS('W Program Monthly'!$L$6:$L$509,'W Program Monthly'!$C$6:$C$509,V$6, 'W Program Monthly'!$E$6:$E$509,"TLI")</f>
        <v>241833.333333333</v>
      </c>
      <c r="W8" s="81" t="n">
        <f aca="false">SUMIFS('W Program Monthly'!$L$6:$L$509,'W Program Monthly'!$C$6:$C$509,W$6, 'W Program Monthly'!$E$6:$E$509,"TLI")</f>
        <v>241833.333333333</v>
      </c>
      <c r="X8" s="81" t="n">
        <f aca="false">SUMIFS('W Program Monthly'!$L$6:$L$509,'W Program Monthly'!$C$6:$C$509,X$6, 'W Program Monthly'!$E$6:$E$509,"TLI")</f>
        <v>241833.333333333</v>
      </c>
      <c r="Y8" s="81" t="n">
        <f aca="false">SUMIFS('W Program Monthly'!$L$6:$L$509,'W Program Monthly'!$C$6:$C$509,Y$6, 'W Program Monthly'!$E$6:$E$509,"TLI")</f>
        <v>241833.333333333</v>
      </c>
      <c r="Z8" s="81" t="n">
        <f aca="false">SUMIFS('W Program Monthly'!$L$6:$L$509,'W Program Monthly'!$C$6:$C$509,Z$6, 'W Program Monthly'!$E$6:$E$509,"TLI")</f>
        <v>241833.333333333</v>
      </c>
      <c r="AA8" s="81" t="n">
        <f aca="false">SUMIFS('W Program Monthly'!$L$6:$L$509,'W Program Monthly'!$C$6:$C$509,AA$6, 'W Program Monthly'!$E$6:$E$509,"TLI")</f>
        <v>241833.333333333</v>
      </c>
      <c r="AB8" s="81" t="n">
        <f aca="false">SUMIFS('W Program Monthly'!$L$6:$L$509,'W Program Monthly'!$C$6:$C$509,AB$6, 'W Program Monthly'!$E$6:$E$509,"TLI")</f>
        <v>241833.333333333</v>
      </c>
      <c r="AC8" s="81" t="n">
        <f aca="false">SUMIFS('W Program Monthly'!$L$6:$L$509,'W Program Monthly'!$C$6:$C$509,AC$6, 'W Program Monthly'!$E$6:$E$509,"TLI")</f>
        <v>241833.333333333</v>
      </c>
      <c r="AD8" s="81" t="n">
        <f aca="false">SUMIFS('W Program Monthly'!$L$6:$L$509,'W Program Monthly'!$C$6:$C$509,AD$6, 'W Program Monthly'!$E$6:$E$509,"TLI")</f>
        <v>241833.333333333</v>
      </c>
      <c r="AE8" s="81" t="n">
        <f aca="false">SUMIFS('W Program Monthly'!$L$6:$L$509,'W Program Monthly'!$C$6:$C$509,AE$6, 'W Program Monthly'!$E$6:$E$509,"TLI")</f>
        <v>241833.333333333</v>
      </c>
      <c r="AF8" s="81" t="n">
        <f aca="false">SUMIFS('W Program Monthly'!$L$6:$L$509,'W Program Monthly'!$C$6:$C$509,AF$6, 'W Program Monthly'!$E$6:$E$509,"TLI")</f>
        <v>414258.333333333</v>
      </c>
      <c r="AG8" s="81" t="n">
        <f aca="false">SUMIFS('W Program Monthly'!$L$6:$L$509,'W Program Monthly'!$C$6:$C$509,AG$6, 'W Program Monthly'!$E$6:$E$509,"TLI")</f>
        <v>414258.333333333</v>
      </c>
      <c r="AH8" s="81" t="n">
        <f aca="false">SUMIFS('W Program Monthly'!$L$6:$L$509,'W Program Monthly'!$C$6:$C$509,AH$6, 'W Program Monthly'!$E$6:$E$509,"TLI")</f>
        <v>563250</v>
      </c>
      <c r="AI8" s="81" t="n">
        <f aca="false">SUMIFS('W Program Monthly'!$L$6:$L$509,'W Program Monthly'!$C$6:$C$509,AI$6, 'W Program Monthly'!$E$6:$E$509,"TLI")</f>
        <v>563250</v>
      </c>
      <c r="AJ8" s="81" t="n">
        <f aca="false">SUMIFS('W Program Monthly'!$L$6:$L$509,'W Program Monthly'!$C$6:$C$509,AJ$6, 'W Program Monthly'!$E$6:$E$509,"TLI")</f>
        <v>563250</v>
      </c>
      <c r="AK8" s="81" t="n">
        <f aca="false">SUMIFS('W Program Monthly'!$L$6:$L$509,'W Program Monthly'!$C$6:$C$509,AK$6, 'W Program Monthly'!$E$6:$E$509,"TLI")</f>
        <v>563250</v>
      </c>
      <c r="AL8" s="81" t="n">
        <f aca="false">SUMIFS('W Program Monthly'!$L$6:$L$509,'W Program Monthly'!$C$6:$C$509,AL$6, 'W Program Monthly'!$E$6:$E$509,"TLI")</f>
        <v>563250</v>
      </c>
      <c r="AM8" s="81" t="n">
        <f aca="false">SUMIFS('W Program Monthly'!$L$6:$L$509,'W Program Monthly'!$C$6:$C$509,AM$6, 'W Program Monthly'!$E$6:$E$509,"TLI")</f>
        <v>563250</v>
      </c>
      <c r="AN8" s="81" t="n">
        <f aca="false">SUMIFS('W Program Monthly'!$L$6:$L$509,'W Program Monthly'!$C$6:$C$509,AN$6, 'W Program Monthly'!$E$6:$E$509,"TLI")</f>
        <v>563250</v>
      </c>
      <c r="AO8" s="81" t="n">
        <f aca="false">SUMIFS('W Program Monthly'!$L$6:$L$509,'W Program Monthly'!$C$6:$C$509,AO$6, 'W Program Monthly'!$E$6:$E$509,"TLI")</f>
        <v>563250</v>
      </c>
      <c r="AP8" s="81" t="n">
        <f aca="false">SUMIFS('W Program Monthly'!$L$6:$L$509,'W Program Monthly'!$C$6:$C$509,AP$6, 'W Program Monthly'!$E$6:$E$509,"TLI")</f>
        <v>563250</v>
      </c>
      <c r="AQ8" s="81" t="n">
        <f aca="false">SUMIFS('W Program Monthly'!$L$6:$L$509,'W Program Monthly'!$C$6:$C$509,AQ$6, 'W Program Monthly'!$E$6:$E$509,"TLI")</f>
        <v>563250</v>
      </c>
    </row>
    <row r="9" customFormat="false" ht="21" hidden="false" customHeight="true" outlineLevel="0" collapsed="false">
      <c r="C9" s="74" t="s">
        <v>1134</v>
      </c>
      <c r="D9" s="109" t="n">
        <f aca="false">SUM(H9:S9)</f>
        <v>1445121.05263158</v>
      </c>
      <c r="E9" s="109" t="n">
        <f aca="false">SUM(T9:AE9)</f>
        <v>4162478.94736842</v>
      </c>
      <c r="F9" s="109" t="n">
        <f aca="false">SUM(AF9:AQ9)</f>
        <v>7965150</v>
      </c>
      <c r="G9" s="79"/>
      <c r="H9" s="81" t="n">
        <f aca="false">SUMIFS('W Program Monthly'!$L$6:$L$509,'W Program Monthly'!$C$6:$C$509,H$6, 'W Program Monthly'!$E$6:$E$509,"WOO IP")</f>
        <v>0</v>
      </c>
      <c r="I9" s="81" t="n">
        <f aca="false">SUMIFS('W Program Monthly'!$L$6:$L$509,'W Program Monthly'!$C$6:$C$509,I$6, 'W Program Monthly'!$E$6:$E$509,"WOO IP")</f>
        <v>20406.5789473684</v>
      </c>
      <c r="J9" s="81" t="n">
        <f aca="false">SUMIFS('W Program Monthly'!$L$6:$L$509,'W Program Monthly'!$C$6:$C$509,J$6, 'W Program Monthly'!$E$6:$E$509,"WOO IP")</f>
        <v>40813.1578947368</v>
      </c>
      <c r="K9" s="81" t="n">
        <f aca="false">SUMIFS('W Program Monthly'!$L$6:$L$509,'W Program Monthly'!$C$6:$C$509,K$6, 'W Program Monthly'!$E$6:$E$509,"WOO IP")</f>
        <v>83542.1052631579</v>
      </c>
      <c r="L9" s="81" t="n">
        <f aca="false">SUMIFS('W Program Monthly'!$L$6:$L$509,'W Program Monthly'!$C$6:$C$509,L$6, 'W Program Monthly'!$E$6:$E$509,"WOO IP")</f>
        <v>126271.052631579</v>
      </c>
      <c r="M9" s="81" t="n">
        <f aca="false">SUMIFS('W Program Monthly'!$L$6:$L$509,'W Program Monthly'!$C$6:$C$509,M$6, 'W Program Monthly'!$E$6:$E$509,"WOO IP")</f>
        <v>148593.421052632</v>
      </c>
      <c r="N9" s="81" t="n">
        <f aca="false">SUMIFS('W Program Monthly'!$L$6:$L$509,'W Program Monthly'!$C$6:$C$509,N$6, 'W Program Monthly'!$E$6:$E$509,"WOO IP")</f>
        <v>170915.789473684</v>
      </c>
      <c r="O9" s="81" t="n">
        <f aca="false">SUMIFS('W Program Monthly'!$L$6:$L$509,'W Program Monthly'!$C$6:$C$509,O$6, 'W Program Monthly'!$E$6:$E$509,"WOO IP")</f>
        <v>170915.789473684</v>
      </c>
      <c r="P9" s="81" t="n">
        <f aca="false">SUMIFS('W Program Monthly'!$L$6:$L$509,'W Program Monthly'!$C$6:$C$509,P$6, 'W Program Monthly'!$E$6:$E$509,"WOO IP")</f>
        <v>170915.789473684</v>
      </c>
      <c r="Q9" s="81" t="n">
        <f aca="false">SUMIFS('W Program Monthly'!$L$6:$L$509,'W Program Monthly'!$C$6:$C$509,Q$6, 'W Program Monthly'!$E$6:$E$509,"WOO IP")</f>
        <v>170915.789473684</v>
      </c>
      <c r="R9" s="81" t="n">
        <f aca="false">SUMIFS('W Program Monthly'!$L$6:$L$509,'W Program Monthly'!$C$6:$C$509,R$6, 'W Program Monthly'!$E$6:$E$509,"WOO IP")</f>
        <v>170915.789473684</v>
      </c>
      <c r="S9" s="81" t="n">
        <f aca="false">SUMIFS('W Program Monthly'!$L$6:$L$509,'W Program Monthly'!$C$6:$C$509,S$6, 'W Program Monthly'!$E$6:$E$509,"WOO IP")</f>
        <v>170915.789473684</v>
      </c>
      <c r="T9" s="81" t="n">
        <f aca="false">SUMIFS('W Program Monthly'!$L$6:$L$509,'W Program Monthly'!$C$6:$C$509,T$6, 'W Program Monthly'!$E$6:$E$509,"WOO IP")</f>
        <v>267489.473684211</v>
      </c>
      <c r="U9" s="81" t="n">
        <f aca="false">SUMIFS('W Program Monthly'!$L$6:$L$509,'W Program Monthly'!$C$6:$C$509,U$6, 'W Program Monthly'!$E$6:$E$509,"WOO IP")</f>
        <v>267489.473684211</v>
      </c>
      <c r="V9" s="81" t="n">
        <f aca="false">SUMIFS('W Program Monthly'!$L$6:$L$509,'W Program Monthly'!$C$6:$C$509,V$6, 'W Program Monthly'!$E$6:$E$509,"WOO IP")</f>
        <v>362750</v>
      </c>
      <c r="W9" s="81" t="n">
        <f aca="false">SUMIFS('W Program Monthly'!$L$6:$L$509,'W Program Monthly'!$C$6:$C$509,W$6, 'W Program Monthly'!$E$6:$E$509,"WOO IP")</f>
        <v>362750</v>
      </c>
      <c r="X9" s="81" t="n">
        <f aca="false">SUMIFS('W Program Monthly'!$L$6:$L$509,'W Program Monthly'!$C$6:$C$509,X$6, 'W Program Monthly'!$E$6:$E$509,"WOO IP")</f>
        <v>362750</v>
      </c>
      <c r="Y9" s="81" t="n">
        <f aca="false">SUMIFS('W Program Monthly'!$L$6:$L$509,'W Program Monthly'!$C$6:$C$509,Y$6, 'W Program Monthly'!$E$6:$E$509,"WOO IP")</f>
        <v>362750</v>
      </c>
      <c r="Z9" s="81" t="n">
        <f aca="false">SUMIFS('W Program Monthly'!$L$6:$L$509,'W Program Monthly'!$C$6:$C$509,Z$6, 'W Program Monthly'!$E$6:$E$509,"WOO IP")</f>
        <v>362750</v>
      </c>
      <c r="AA9" s="81" t="n">
        <f aca="false">SUMIFS('W Program Monthly'!$L$6:$L$509,'W Program Monthly'!$C$6:$C$509,AA$6, 'W Program Monthly'!$E$6:$E$509,"WOO IP")</f>
        <v>362750</v>
      </c>
      <c r="AB9" s="81" t="n">
        <f aca="false">SUMIFS('W Program Monthly'!$L$6:$L$509,'W Program Monthly'!$C$6:$C$509,AB$6, 'W Program Monthly'!$E$6:$E$509,"WOO IP")</f>
        <v>362750</v>
      </c>
      <c r="AC9" s="81" t="n">
        <f aca="false">SUMIFS('W Program Monthly'!$L$6:$L$509,'W Program Monthly'!$C$6:$C$509,AC$6, 'W Program Monthly'!$E$6:$E$509,"WOO IP")</f>
        <v>362750</v>
      </c>
      <c r="AD9" s="81" t="n">
        <f aca="false">SUMIFS('W Program Monthly'!$L$6:$L$509,'W Program Monthly'!$C$6:$C$509,AD$6, 'W Program Monthly'!$E$6:$E$509,"WOO IP")</f>
        <v>362750</v>
      </c>
      <c r="AE9" s="81" t="n">
        <f aca="false">SUMIFS('W Program Monthly'!$L$6:$L$509,'W Program Monthly'!$C$6:$C$509,AE$6, 'W Program Monthly'!$E$6:$E$509,"WOO IP")</f>
        <v>362750</v>
      </c>
      <c r="AF9" s="81" t="n">
        <f aca="false">SUMIFS('W Program Monthly'!$L$6:$L$509,'W Program Monthly'!$C$6:$C$509,AF$6, 'W Program Monthly'!$E$6:$E$509,"WOO IP")</f>
        <v>540491.666666667</v>
      </c>
      <c r="AG9" s="81" t="n">
        <f aca="false">SUMIFS('W Program Monthly'!$L$6:$L$509,'W Program Monthly'!$C$6:$C$509,AG$6, 'W Program Monthly'!$E$6:$E$509,"WOO IP")</f>
        <v>540491.666666667</v>
      </c>
      <c r="AH9" s="81" t="n">
        <f aca="false">SUMIFS('W Program Monthly'!$L$6:$L$509,'W Program Monthly'!$C$6:$C$509,AH$6, 'W Program Monthly'!$E$6:$E$509,"WOO IP")</f>
        <v>688416.666666667</v>
      </c>
      <c r="AI9" s="81" t="n">
        <f aca="false">SUMIFS('W Program Monthly'!$L$6:$L$509,'W Program Monthly'!$C$6:$C$509,AI$6, 'W Program Monthly'!$E$6:$E$509,"WOO IP")</f>
        <v>688416.666666667</v>
      </c>
      <c r="AJ9" s="81" t="n">
        <f aca="false">SUMIFS('W Program Monthly'!$L$6:$L$509,'W Program Monthly'!$C$6:$C$509,AJ$6, 'W Program Monthly'!$E$6:$E$509,"WOO IP")</f>
        <v>688416.666666667</v>
      </c>
      <c r="AK9" s="81" t="n">
        <f aca="false">SUMIFS('W Program Monthly'!$L$6:$L$509,'W Program Monthly'!$C$6:$C$509,AK$6, 'W Program Monthly'!$E$6:$E$509,"WOO IP")</f>
        <v>688416.666666667</v>
      </c>
      <c r="AL9" s="81" t="n">
        <f aca="false">SUMIFS('W Program Monthly'!$L$6:$L$509,'W Program Monthly'!$C$6:$C$509,AL$6, 'W Program Monthly'!$E$6:$E$509,"WOO IP")</f>
        <v>688416.666666667</v>
      </c>
      <c r="AM9" s="81" t="n">
        <f aca="false">SUMIFS('W Program Monthly'!$L$6:$L$509,'W Program Monthly'!$C$6:$C$509,AM$6, 'W Program Monthly'!$E$6:$E$509,"WOO IP")</f>
        <v>688416.666666667</v>
      </c>
      <c r="AN9" s="81" t="n">
        <f aca="false">SUMIFS('W Program Monthly'!$L$6:$L$509,'W Program Monthly'!$C$6:$C$509,AN$6, 'W Program Monthly'!$E$6:$E$509,"WOO IP")</f>
        <v>688416.666666667</v>
      </c>
      <c r="AO9" s="81" t="n">
        <f aca="false">SUMIFS('W Program Monthly'!$L$6:$L$509,'W Program Monthly'!$C$6:$C$509,AO$6, 'W Program Monthly'!$E$6:$E$509,"WOO IP")</f>
        <v>688416.666666667</v>
      </c>
      <c r="AP9" s="81" t="n">
        <f aca="false">SUMIFS('W Program Monthly'!$L$6:$L$509,'W Program Monthly'!$C$6:$C$509,AP$6, 'W Program Monthly'!$E$6:$E$509,"WOO IP")</f>
        <v>688416.666666667</v>
      </c>
      <c r="AQ9" s="81" t="n">
        <f aca="false">SUMIFS('W Program Monthly'!$L$6:$L$509,'W Program Monthly'!$C$6:$C$509,AQ$6, 'W Program Monthly'!$E$6:$E$509,"WOO IP")</f>
        <v>688416.666666667</v>
      </c>
    </row>
    <row r="10" customFormat="false" ht="21" hidden="false" customHeight="true" outlineLevel="0" collapsed="false">
      <c r="C10" s="86" t="s">
        <v>1135</v>
      </c>
      <c r="D10" s="94" t="n">
        <f aca="false">SUM(H10:S10)</f>
        <v>14378127.7493638</v>
      </c>
      <c r="E10" s="94" t="n">
        <f aca="false">SUM(T10:AE10)</f>
        <v>24707356.2664995</v>
      </c>
      <c r="F10" s="94" t="n">
        <f aca="false">SUM(AF10:AQ10)</f>
        <v>33872878.8584693</v>
      </c>
      <c r="G10" s="110"/>
      <c r="H10" s="94" t="n">
        <f aca="false">SUM(H7:H9)</f>
        <v>147592.355555556</v>
      </c>
      <c r="I10" s="94" t="n">
        <f aca="false">SUM(I7:I9)</f>
        <v>490070.587264421</v>
      </c>
      <c r="J10" s="94" t="n">
        <f aca="false">SUM(J7:J9)</f>
        <v>561755.988616422</v>
      </c>
      <c r="K10" s="94" t="n">
        <f aca="false">SUM(K7:K9)</f>
        <v>1152401.3917315</v>
      </c>
      <c r="L10" s="94" t="n">
        <f aca="false">SUM(L7:L9)</f>
        <v>1233055.0929672</v>
      </c>
      <c r="M10" s="94" t="n">
        <f aca="false">SUM(M7:M9)</f>
        <v>1187613.68170862</v>
      </c>
      <c r="N10" s="94" t="n">
        <f aca="false">SUM(N7:N9)</f>
        <v>1718383.22100904</v>
      </c>
      <c r="O10" s="94" t="n">
        <f aca="false">SUM(O7:O9)</f>
        <v>1726092.54523265</v>
      </c>
      <c r="P10" s="94" t="n">
        <f aca="false">SUM(P7:P9)</f>
        <v>1443675.89305873</v>
      </c>
      <c r="Q10" s="94" t="n">
        <f aca="false">SUM(Q7:Q9)</f>
        <v>1528792.11914569</v>
      </c>
      <c r="R10" s="94" t="n">
        <f aca="false">SUM(R7:R9)</f>
        <v>1628274.38871091</v>
      </c>
      <c r="S10" s="94" t="n">
        <f aca="false">SUM(S7:S9)</f>
        <v>1560420.48436308</v>
      </c>
      <c r="T10" s="94" t="n">
        <f aca="false">SUM(T7:T9)</f>
        <v>1741109.61508162</v>
      </c>
      <c r="U10" s="94" t="n">
        <f aca="false">SUM(U7:U9)</f>
        <v>1939946.8557251</v>
      </c>
      <c r="V10" s="94" t="n">
        <f aca="false">SUM(V7:V9)</f>
        <v>2054121.08278841</v>
      </c>
      <c r="W10" s="94" t="n">
        <f aca="false">SUM(W7:W9)</f>
        <v>2406741.56157101</v>
      </c>
      <c r="X10" s="94" t="n">
        <f aca="false">SUM(X7:X9)</f>
        <v>2120210.17129275</v>
      </c>
      <c r="Y10" s="94" t="n">
        <f aca="false">SUM(Y7:Y9)</f>
        <v>1915596.21141449</v>
      </c>
      <c r="Z10" s="94" t="n">
        <f aca="false">SUM(Z7:Z9)</f>
        <v>2257038.14569275</v>
      </c>
      <c r="AA10" s="94" t="n">
        <f aca="false">SUM(AA7:AA9)</f>
        <v>2220697.9501971</v>
      </c>
      <c r="AB10" s="94" t="n">
        <f aca="false">SUM(AB7:AB9)</f>
        <v>1917708.15541449</v>
      </c>
      <c r="AC10" s="94" t="n">
        <f aca="false">SUM(AC7:AC9)</f>
        <v>1996691.41557101</v>
      </c>
      <c r="AD10" s="94" t="n">
        <f aca="false">SUM(AD7:AD9)</f>
        <v>2101914.39918841</v>
      </c>
      <c r="AE10" s="94" t="n">
        <f aca="false">SUM(AE7:AE9)</f>
        <v>2035580.70256232</v>
      </c>
      <c r="AF10" s="94" t="n">
        <f aca="false">SUM(AF7:AF9)</f>
        <v>2388878.52074648</v>
      </c>
      <c r="AG10" s="94" t="n">
        <f aca="false">SUM(AG7:AG9)</f>
        <v>2601780.76974138</v>
      </c>
      <c r="AH10" s="94" t="n">
        <f aca="false">SUM(AH7:AH9)</f>
        <v>2841614.40678822</v>
      </c>
      <c r="AI10" s="94" t="n">
        <f aca="false">SUM(AI7:AI9)</f>
        <v>3217712.2110084</v>
      </c>
      <c r="AJ10" s="94" t="n">
        <f aca="false">SUM(AJ7:AJ9)</f>
        <v>2909487.94969486</v>
      </c>
      <c r="AK10" s="94" t="n">
        <f aca="false">SUM(AK7:AK9)</f>
        <v>2690230.65357908</v>
      </c>
      <c r="AL10" s="94" t="n">
        <f aca="false">SUM(AL7:AL9)</f>
        <v>3056660.09153262</v>
      </c>
      <c r="AM10" s="94" t="n">
        <f aca="false">SUM(AM7:AM9)</f>
        <v>3015958.59339926</v>
      </c>
      <c r="AN10" s="94" t="n">
        <f aca="false">SUM(AN7:AN9)</f>
        <v>2692469.31421908</v>
      </c>
      <c r="AO10" s="94" t="n">
        <f aca="false">SUM(AO7:AO9)</f>
        <v>2767050.3889452</v>
      </c>
      <c r="AP10" s="94" t="n">
        <f aca="false">SUM(AP7:AP9)</f>
        <v>2878401.14384278</v>
      </c>
      <c r="AQ10" s="94" t="n">
        <f aca="false">SUM(AQ7:AQ9)</f>
        <v>2812634.81497192</v>
      </c>
    </row>
    <row r="11" customFormat="false" ht="21" hidden="false" customHeight="true" outlineLevel="0" collapsed="false">
      <c r="C11" s="74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</row>
    <row r="12" customFormat="false" ht="21" hidden="false" customHeight="true" outlineLevel="0" collapsed="false">
      <c r="C12" s="74" t="s">
        <v>1136</v>
      </c>
      <c r="D12" s="109" t="n">
        <f aca="false">SUM(H12:S12)</f>
        <v>3743044.31950845</v>
      </c>
      <c r="E12" s="109" t="n">
        <f aca="false">SUM(T12:AE12)</f>
        <v>4948402</v>
      </c>
      <c r="F12" s="109" t="n">
        <f aca="false">SUM(AF12:AQ12)</f>
        <v>5180014.1</v>
      </c>
      <c r="G12" s="79"/>
      <c r="H12" s="81" t="n">
        <f aca="false">'W Financial Model'!H12</f>
        <v>57866.6666666667</v>
      </c>
      <c r="I12" s="81" t="n">
        <f aca="false">'W Financial Model'!I12</f>
        <v>130288.129032258</v>
      </c>
      <c r="J12" s="81" t="n">
        <f aca="false">'W Financial Model'!J12</f>
        <v>184924.666666667</v>
      </c>
      <c r="K12" s="81" t="n">
        <f aca="false">'W Financial Model'!K12</f>
        <v>250572</v>
      </c>
      <c r="L12" s="81" t="n">
        <f aca="false">'W Financial Model'!L12</f>
        <v>322434</v>
      </c>
      <c r="M12" s="81" t="n">
        <f aca="false">'W Financial Model'!M12</f>
        <v>324338.857142857</v>
      </c>
      <c r="N12" s="81" t="n">
        <f aca="false">'W Financial Model'!N12</f>
        <v>430270</v>
      </c>
      <c r="O12" s="81" t="n">
        <f aca="false">'W Financial Model'!O12</f>
        <v>430270</v>
      </c>
      <c r="P12" s="81" t="n">
        <f aca="false">'W Financial Model'!P12</f>
        <v>375770</v>
      </c>
      <c r="Q12" s="81" t="n">
        <f aca="false">'W Financial Model'!Q12</f>
        <v>430270</v>
      </c>
      <c r="R12" s="81" t="n">
        <f aca="false">'W Financial Model'!R12</f>
        <v>430270</v>
      </c>
      <c r="S12" s="81" t="n">
        <f aca="false">'W Financial Model'!S12</f>
        <v>375770</v>
      </c>
      <c r="T12" s="81" t="n">
        <f aca="false">'W Financial Model'!T12</f>
        <v>393473.5</v>
      </c>
      <c r="U12" s="81" t="n">
        <f aca="false">'W Financial Model'!U12</f>
        <v>393473.5</v>
      </c>
      <c r="V12" s="81" t="n">
        <f aca="false">'W Financial Model'!V12</f>
        <v>393473.5</v>
      </c>
      <c r="W12" s="81" t="n">
        <f aca="false">'W Financial Model'!W12</f>
        <v>393473.5</v>
      </c>
      <c r="X12" s="81" t="n">
        <f aca="false">'W Financial Model'!X12</f>
        <v>393473.5</v>
      </c>
      <c r="Y12" s="81" t="n">
        <f aca="false">'W Financial Model'!Y12</f>
        <v>393473.5</v>
      </c>
      <c r="Z12" s="81" t="n">
        <f aca="false">'W Financial Model'!Z12</f>
        <v>450153.5</v>
      </c>
      <c r="AA12" s="81" t="n">
        <f aca="false">'W Financial Model'!AA12</f>
        <v>450153.5</v>
      </c>
      <c r="AB12" s="81" t="n">
        <f aca="false">'W Financial Model'!AB12</f>
        <v>393473.5</v>
      </c>
      <c r="AC12" s="81" t="n">
        <f aca="false">'W Financial Model'!AC12</f>
        <v>450153.5</v>
      </c>
      <c r="AD12" s="81" t="n">
        <f aca="false">'W Financial Model'!AD12</f>
        <v>450153.5</v>
      </c>
      <c r="AE12" s="81" t="n">
        <f aca="false">'W Financial Model'!AE12</f>
        <v>393473.5</v>
      </c>
      <c r="AF12" s="81" t="n">
        <f aca="false">'W Financial Model'!AF12</f>
        <v>412018.775</v>
      </c>
      <c r="AG12" s="81" t="n">
        <f aca="false">'W Financial Model'!AG12</f>
        <v>412018.775</v>
      </c>
      <c r="AH12" s="81" t="n">
        <f aca="false">'W Financial Model'!AH12</f>
        <v>412018.775</v>
      </c>
      <c r="AI12" s="81" t="n">
        <f aca="false">'W Financial Model'!AI12</f>
        <v>412018.775</v>
      </c>
      <c r="AJ12" s="81" t="n">
        <f aca="false">'W Financial Model'!AJ12</f>
        <v>412018.775</v>
      </c>
      <c r="AK12" s="81" t="n">
        <f aca="false">'W Financial Model'!AK12</f>
        <v>412018.775</v>
      </c>
      <c r="AL12" s="81" t="n">
        <f aca="false">'W Financial Model'!AL12</f>
        <v>470965.975</v>
      </c>
      <c r="AM12" s="81" t="n">
        <f aca="false">'W Financial Model'!AM12</f>
        <v>470965.975</v>
      </c>
      <c r="AN12" s="81" t="n">
        <f aca="false">'W Financial Model'!AN12</f>
        <v>412018.775</v>
      </c>
      <c r="AO12" s="81" t="n">
        <f aca="false">'W Financial Model'!AO12</f>
        <v>470965.975</v>
      </c>
      <c r="AP12" s="81" t="n">
        <f aca="false">'W Financial Model'!AP12</f>
        <v>470965.975</v>
      </c>
      <c r="AQ12" s="81" t="n">
        <f aca="false">'W Financial Model'!AQ12</f>
        <v>412018.775</v>
      </c>
    </row>
    <row r="13" customFormat="false" ht="21" hidden="false" customHeight="true" outlineLevel="0" collapsed="false">
      <c r="C13" s="74" t="s">
        <v>1137</v>
      </c>
      <c r="D13" s="109" t="n">
        <f aca="false">SUM(H13:S13)</f>
        <v>1048668.8172043</v>
      </c>
      <c r="E13" s="109" t="n">
        <f aca="false">SUM(T13:AE13)</f>
        <v>1435200</v>
      </c>
      <c r="F13" s="109" t="n">
        <f aca="false">SUM(AF13:AQ13)</f>
        <v>1492608</v>
      </c>
      <c r="G13" s="79"/>
      <c r="H13" s="81" t="n">
        <f aca="false">'W Financial Model'!H13</f>
        <v>8000</v>
      </c>
      <c r="I13" s="81" t="n">
        <f aca="false">'W Financial Model'!I13</f>
        <v>16935.4838709677</v>
      </c>
      <c r="J13" s="81" t="n">
        <f aca="false">'W Financial Model'!J13</f>
        <v>31733.3333333333</v>
      </c>
      <c r="K13" s="81" t="n">
        <f aca="false">'W Financial Model'!K13</f>
        <v>72000</v>
      </c>
      <c r="L13" s="81" t="n">
        <f aca="false">'W Financial Model'!L13</f>
        <v>115000</v>
      </c>
      <c r="M13" s="81" t="n">
        <f aca="false">'W Financial Model'!M13</f>
        <v>115000</v>
      </c>
      <c r="N13" s="81" t="n">
        <f aca="false">'W Financial Model'!N13</f>
        <v>115000</v>
      </c>
      <c r="O13" s="81" t="n">
        <f aca="false">'W Financial Model'!O13</f>
        <v>115000</v>
      </c>
      <c r="P13" s="81" t="n">
        <f aca="false">'W Financial Model'!P13</f>
        <v>115000</v>
      </c>
      <c r="Q13" s="81" t="n">
        <f aca="false">'W Financial Model'!Q13</f>
        <v>115000</v>
      </c>
      <c r="R13" s="81" t="n">
        <f aca="false">'W Financial Model'!R13</f>
        <v>115000</v>
      </c>
      <c r="S13" s="81" t="n">
        <f aca="false">'W Financial Model'!S13</f>
        <v>115000</v>
      </c>
      <c r="T13" s="81" t="n">
        <f aca="false">'W Financial Model'!T13</f>
        <v>119600</v>
      </c>
      <c r="U13" s="81" t="n">
        <f aca="false">'W Financial Model'!U13</f>
        <v>119600</v>
      </c>
      <c r="V13" s="81" t="n">
        <f aca="false">'W Financial Model'!V13</f>
        <v>119600</v>
      </c>
      <c r="W13" s="81" t="n">
        <f aca="false">'W Financial Model'!W13</f>
        <v>119600</v>
      </c>
      <c r="X13" s="81" t="n">
        <f aca="false">'W Financial Model'!X13</f>
        <v>119600</v>
      </c>
      <c r="Y13" s="81" t="n">
        <f aca="false">'W Financial Model'!Y13</f>
        <v>119600</v>
      </c>
      <c r="Z13" s="81" t="n">
        <f aca="false">'W Financial Model'!Z13</f>
        <v>119600</v>
      </c>
      <c r="AA13" s="81" t="n">
        <f aca="false">'W Financial Model'!AA13</f>
        <v>119600</v>
      </c>
      <c r="AB13" s="81" t="n">
        <f aca="false">'W Financial Model'!AB13</f>
        <v>119600</v>
      </c>
      <c r="AC13" s="81" t="n">
        <f aca="false">'W Financial Model'!AC13</f>
        <v>119600</v>
      </c>
      <c r="AD13" s="81" t="n">
        <f aca="false">'W Financial Model'!AD13</f>
        <v>119600</v>
      </c>
      <c r="AE13" s="81" t="n">
        <f aca="false">'W Financial Model'!AE13</f>
        <v>119600</v>
      </c>
      <c r="AF13" s="81" t="n">
        <f aca="false">'W Financial Model'!AF13</f>
        <v>124384</v>
      </c>
      <c r="AG13" s="81" t="n">
        <f aca="false">'W Financial Model'!AG13</f>
        <v>124384</v>
      </c>
      <c r="AH13" s="81" t="n">
        <f aca="false">'W Financial Model'!AH13</f>
        <v>124384</v>
      </c>
      <c r="AI13" s="81" t="n">
        <f aca="false">'W Financial Model'!AI13</f>
        <v>124384</v>
      </c>
      <c r="AJ13" s="81" t="n">
        <f aca="false">'W Financial Model'!AJ13</f>
        <v>124384</v>
      </c>
      <c r="AK13" s="81" t="n">
        <f aca="false">'W Financial Model'!AK13</f>
        <v>124384</v>
      </c>
      <c r="AL13" s="81" t="n">
        <f aca="false">'W Financial Model'!AL13</f>
        <v>124384</v>
      </c>
      <c r="AM13" s="81" t="n">
        <f aca="false">'W Financial Model'!AM13</f>
        <v>124384</v>
      </c>
      <c r="AN13" s="81" t="n">
        <f aca="false">'W Financial Model'!AN13</f>
        <v>124384</v>
      </c>
      <c r="AO13" s="81" t="n">
        <f aca="false">'W Financial Model'!AO13</f>
        <v>124384</v>
      </c>
      <c r="AP13" s="81" t="n">
        <f aca="false">'W Financial Model'!AP13</f>
        <v>124384</v>
      </c>
      <c r="AQ13" s="81" t="n">
        <f aca="false">'W Financial Model'!AQ13</f>
        <v>124384</v>
      </c>
    </row>
    <row r="14" customFormat="false" ht="21" hidden="false" customHeight="true" outlineLevel="0" collapsed="false">
      <c r="C14" s="74" t="s">
        <v>1138</v>
      </c>
      <c r="D14" s="109" t="n">
        <f aca="false">SUM(H14:S14)</f>
        <v>203264.86415548</v>
      </c>
      <c r="E14" s="109" t="n">
        <f aca="false">SUM(T14:AE14)</f>
        <v>378703.408695652</v>
      </c>
      <c r="F14" s="109" t="n">
        <f aca="false">SUM(AF14:AQ14)</f>
        <v>420307.391833043</v>
      </c>
      <c r="G14" s="79"/>
      <c r="H14" s="81" t="n">
        <f aca="false">'W Financial Model'!H14</f>
        <v>0</v>
      </c>
      <c r="I14" s="81" t="n">
        <f aca="false">'W Financial Model'!I14</f>
        <v>2712.57223001403</v>
      </c>
      <c r="J14" s="81" t="n">
        <f aca="false">'W Financial Model'!J14</f>
        <v>9759.65217391304</v>
      </c>
      <c r="K14" s="81" t="n">
        <f aca="false">'W Financial Model'!K14</f>
        <v>12720</v>
      </c>
      <c r="L14" s="81" t="n">
        <f aca="false">'W Financial Model'!L14</f>
        <v>11679.1304347826</v>
      </c>
      <c r="M14" s="81" t="n">
        <f aca="false">'W Financial Model'!M14</f>
        <v>11517.8571428571</v>
      </c>
      <c r="N14" s="81" t="n">
        <f aca="false">'W Financial Model'!N14</f>
        <v>26829.1304347826</v>
      </c>
      <c r="O14" s="81" t="n">
        <f aca="false">'W Financial Model'!O14</f>
        <v>29203.0434782609</v>
      </c>
      <c r="P14" s="81" t="n">
        <f aca="false">'W Financial Model'!P14</f>
        <v>27919.5652173913</v>
      </c>
      <c r="Q14" s="81" t="n">
        <f aca="false">'W Financial Model'!Q14</f>
        <v>22785.652173913</v>
      </c>
      <c r="R14" s="81" t="n">
        <f aca="false">'W Financial Model'!R14</f>
        <v>22785.652173913</v>
      </c>
      <c r="S14" s="81" t="n">
        <f aca="false">'W Financial Model'!S14</f>
        <v>25352.6086956522</v>
      </c>
      <c r="T14" s="81" t="n">
        <f aca="false">'W Financial Model'!T14</f>
        <v>31558.6173913044</v>
      </c>
      <c r="U14" s="81" t="n">
        <f aca="false">'W Financial Model'!U14</f>
        <v>33012.7982608696</v>
      </c>
      <c r="V14" s="81" t="n">
        <f aca="false">'W Financial Model'!V14</f>
        <v>34466.9791304348</v>
      </c>
      <c r="W14" s="81" t="n">
        <f aca="false">'W Financial Model'!W14</f>
        <v>35921.16</v>
      </c>
      <c r="X14" s="81" t="n">
        <f aca="false">'W Financial Model'!X14</f>
        <v>33012.7982608696</v>
      </c>
      <c r="Y14" s="81" t="n">
        <f aca="false">'W Financial Model'!Y14</f>
        <v>31558.6173913044</v>
      </c>
      <c r="Z14" s="81" t="n">
        <f aca="false">'W Financial Model'!Z14</f>
        <v>34466.9791304348</v>
      </c>
      <c r="AA14" s="81" t="n">
        <f aca="false">'W Financial Model'!AA14</f>
        <v>33012.7982608696</v>
      </c>
      <c r="AB14" s="81" t="n">
        <f aca="false">'W Financial Model'!AB14</f>
        <v>31558.6173913044</v>
      </c>
      <c r="AC14" s="81" t="n">
        <f aca="false">'W Financial Model'!AC14</f>
        <v>25741.8939130435</v>
      </c>
      <c r="AD14" s="81" t="n">
        <f aca="false">'W Financial Model'!AD14</f>
        <v>25741.8939130435</v>
      </c>
      <c r="AE14" s="81" t="n">
        <f aca="false">'W Financial Model'!AE14</f>
        <v>28650.2556521739</v>
      </c>
      <c r="AF14" s="81" t="n">
        <f aca="false">'W Financial Model'!AF14</f>
        <v>35025.615986087</v>
      </c>
      <c r="AG14" s="81" t="n">
        <f aca="false">'W Financial Model'!AG14</f>
        <v>36643.2467853913</v>
      </c>
      <c r="AH14" s="81" t="n">
        <f aca="false">'W Financial Model'!AH14</f>
        <v>38260.8775846957</v>
      </c>
      <c r="AI14" s="81" t="n">
        <f aca="false">'W Financial Model'!AI14</f>
        <v>39878.508384</v>
      </c>
      <c r="AJ14" s="81" t="n">
        <f aca="false">'W Financial Model'!AJ14</f>
        <v>36643.2467853913</v>
      </c>
      <c r="AK14" s="81" t="n">
        <f aca="false">'W Financial Model'!AK14</f>
        <v>35025.615986087</v>
      </c>
      <c r="AL14" s="81" t="n">
        <f aca="false">'W Financial Model'!AL14</f>
        <v>38260.8775846957</v>
      </c>
      <c r="AM14" s="81" t="n">
        <f aca="false">'W Financial Model'!AM14</f>
        <v>36643.2467853913</v>
      </c>
      <c r="AN14" s="81" t="n">
        <f aca="false">'W Financial Model'!AN14</f>
        <v>35025.615986087</v>
      </c>
      <c r="AO14" s="81" t="n">
        <f aca="false">'W Financial Model'!AO14</f>
        <v>28555.0927888696</v>
      </c>
      <c r="AP14" s="81" t="n">
        <f aca="false">'W Financial Model'!AP14</f>
        <v>28555.0927888696</v>
      </c>
      <c r="AQ14" s="81" t="n">
        <f aca="false">'W Financial Model'!AQ14</f>
        <v>31790.3543874783</v>
      </c>
    </row>
    <row r="15" customFormat="false" ht="21" hidden="false" customHeight="true" outlineLevel="0" collapsed="false">
      <c r="C15" s="74" t="s">
        <v>1139</v>
      </c>
      <c r="D15" s="109" t="n">
        <f aca="false">SUM(H15:S15)</f>
        <v>1886769.85407066</v>
      </c>
      <c r="E15" s="109" t="n">
        <f aca="false">SUM(T15:AE15)</f>
        <v>2404896</v>
      </c>
      <c r="F15" s="109" t="n">
        <f aca="false">SUM(AF15:AQ15)</f>
        <v>2501091.84</v>
      </c>
      <c r="G15" s="79"/>
      <c r="H15" s="81" t="n">
        <f aca="false">'W Financial Model'!H15</f>
        <v>39466.6666666667</v>
      </c>
      <c r="I15" s="81" t="n">
        <f aca="false">'W Financial Model'!I15</f>
        <v>81625.8064516129</v>
      </c>
      <c r="J15" s="81" t="n">
        <f aca="false">'W Financial Model'!J15</f>
        <v>101966.666666667</v>
      </c>
      <c r="K15" s="81" t="n">
        <f aca="false">'W Financial Model'!K15</f>
        <v>128200</v>
      </c>
      <c r="L15" s="81" t="n">
        <f aca="false">'W Financial Model'!L15</f>
        <v>156200</v>
      </c>
      <c r="M15" s="81" t="n">
        <f aca="false">'W Financial Model'!M15</f>
        <v>157110.714285714</v>
      </c>
      <c r="N15" s="81" t="n">
        <f aca="false">'W Financial Model'!N15</f>
        <v>214700</v>
      </c>
      <c r="O15" s="81" t="n">
        <f aca="false">'W Financial Model'!O15</f>
        <v>214700</v>
      </c>
      <c r="P15" s="81" t="n">
        <f aca="false">'W Financial Model'!P15</f>
        <v>181700</v>
      </c>
      <c r="Q15" s="81" t="n">
        <f aca="false">'W Financial Model'!Q15</f>
        <v>214700</v>
      </c>
      <c r="R15" s="81" t="n">
        <f aca="false">'W Financial Model'!R15</f>
        <v>214700</v>
      </c>
      <c r="S15" s="81" t="n">
        <f aca="false">'W Financial Model'!S15</f>
        <v>181700</v>
      </c>
      <c r="T15" s="81" t="n">
        <f aca="false">'W Financial Model'!T15</f>
        <v>188968</v>
      </c>
      <c r="U15" s="81" t="n">
        <f aca="false">'W Financial Model'!U15</f>
        <v>188968</v>
      </c>
      <c r="V15" s="81" t="n">
        <f aca="false">'W Financial Model'!V15</f>
        <v>188968</v>
      </c>
      <c r="W15" s="81" t="n">
        <f aca="false">'W Financial Model'!W15</f>
        <v>188968</v>
      </c>
      <c r="X15" s="81" t="n">
        <f aca="false">'W Financial Model'!X15</f>
        <v>188968</v>
      </c>
      <c r="Y15" s="81" t="n">
        <f aca="false">'W Financial Model'!Y15</f>
        <v>188968</v>
      </c>
      <c r="Z15" s="81" t="n">
        <f aca="false">'W Financial Model'!Z15</f>
        <v>223288</v>
      </c>
      <c r="AA15" s="81" t="n">
        <f aca="false">'W Financial Model'!AA15</f>
        <v>223288</v>
      </c>
      <c r="AB15" s="81" t="n">
        <f aca="false">'W Financial Model'!AB15</f>
        <v>188968</v>
      </c>
      <c r="AC15" s="81" t="n">
        <f aca="false">'W Financial Model'!AC15</f>
        <v>223288</v>
      </c>
      <c r="AD15" s="81" t="n">
        <f aca="false">'W Financial Model'!AD15</f>
        <v>223288</v>
      </c>
      <c r="AE15" s="81" t="n">
        <f aca="false">'W Financial Model'!AE15</f>
        <v>188968</v>
      </c>
      <c r="AF15" s="81" t="n">
        <f aca="false">'W Financial Model'!AF15</f>
        <v>196526.72</v>
      </c>
      <c r="AG15" s="81" t="n">
        <f aca="false">'W Financial Model'!AG15</f>
        <v>196526.72</v>
      </c>
      <c r="AH15" s="81" t="n">
        <f aca="false">'W Financial Model'!AH15</f>
        <v>196526.72</v>
      </c>
      <c r="AI15" s="81" t="n">
        <f aca="false">'W Financial Model'!AI15</f>
        <v>196526.72</v>
      </c>
      <c r="AJ15" s="81" t="n">
        <f aca="false">'W Financial Model'!AJ15</f>
        <v>196526.72</v>
      </c>
      <c r="AK15" s="81" t="n">
        <f aca="false">'W Financial Model'!AK15</f>
        <v>196526.72</v>
      </c>
      <c r="AL15" s="81" t="n">
        <f aca="false">'W Financial Model'!AL15</f>
        <v>232219.52</v>
      </c>
      <c r="AM15" s="81" t="n">
        <f aca="false">'W Financial Model'!AM15</f>
        <v>232219.52</v>
      </c>
      <c r="AN15" s="81" t="n">
        <f aca="false">'W Financial Model'!AN15</f>
        <v>196526.72</v>
      </c>
      <c r="AO15" s="81" t="n">
        <f aca="false">'W Financial Model'!AO15</f>
        <v>232219.52</v>
      </c>
      <c r="AP15" s="81" t="n">
        <f aca="false">'W Financial Model'!AP15</f>
        <v>232219.52</v>
      </c>
      <c r="AQ15" s="81" t="n">
        <f aca="false">'W Financial Model'!AQ15</f>
        <v>196526.72</v>
      </c>
    </row>
    <row r="16" customFormat="false" ht="21" hidden="false" customHeight="true" outlineLevel="0" collapsed="false">
      <c r="C16" s="74" t="s">
        <v>1140</v>
      </c>
      <c r="D16" s="109" t="n">
        <f aca="false">SUM(H16:S16)</f>
        <v>780693.38024444</v>
      </c>
      <c r="E16" s="109" t="n">
        <f aca="false">SUM(T16:AE16)</f>
        <v>1234263.16029565</v>
      </c>
      <c r="F16" s="109" t="n">
        <f aca="false">SUM(AF16:AQ16)</f>
        <v>1350830.38436506</v>
      </c>
      <c r="G16" s="79"/>
      <c r="H16" s="81" t="n">
        <f aca="false">'W Financial Model'!H16*'W Assumptions'!$D$55</f>
        <v>7680</v>
      </c>
      <c r="I16" s="81" t="n">
        <f aca="false">'W Financial Model'!I16*'W Assumptions'!$D$55+'W Financial Model'!H16*(1-'W Assumptions'!$D$55)</f>
        <v>18393.2930154278</v>
      </c>
      <c r="J16" s="81" t="n">
        <f aca="false">'W Financial Model'!J16*'W Assumptions'!$D$55+'W Financial Model'!I16*(1-'W Assumptions'!$D$55)</f>
        <v>29052.8345582048</v>
      </c>
      <c r="K16" s="81" t="n">
        <f aca="false">'W Financial Model'!K16*'W Assumptions'!$D$55+'W Financial Model'!J16*(1-'W Assumptions'!$D$55)</f>
        <v>46208.347826087</v>
      </c>
      <c r="L16" s="81" t="n">
        <f aca="false">'W Financial Model'!L16*'W Assumptions'!$D$55+'W Financial Model'!K16*(1-'W Assumptions'!$D$55)</f>
        <v>63713.227826087</v>
      </c>
      <c r="M16" s="81" t="n">
        <f aca="false">'W Financial Model'!M16*'W Assumptions'!$D$55+'W Financial Model'!L16*(1-'W Assumptions'!$D$55)</f>
        <v>71711.5068322981</v>
      </c>
      <c r="N16" s="81" t="n">
        <f aca="false">'W Financial Model'!N16*'W Assumptions'!$D$55+'W Financial Model'!M16*(1-'W Assumptions'!$D$55)</f>
        <v>95293.2571428572</v>
      </c>
      <c r="O16" s="81" t="n">
        <f aca="false">'W Financial Model'!O16*'W Assumptions'!$D$55+'W Financial Model'!N16*(1-'W Assumptions'!$D$55)</f>
        <v>100724.67826087</v>
      </c>
      <c r="P16" s="81" t="n">
        <f aca="false">'W Financial Model'!P16*'W Assumptions'!$D$55+'W Financial Model'!O16*(1-'W Assumptions'!$D$55)</f>
        <v>92560.3391304348</v>
      </c>
      <c r="Q16" s="81" t="n">
        <f aca="false">'W Financial Model'!Q16*'W Assumptions'!$D$55+'W Financial Model'!P16*(1-'W Assumptions'!$D$55)</f>
        <v>86051.9652173913</v>
      </c>
      <c r="R16" s="81" t="n">
        <f aca="false">'W Financial Model'!R16*'W Assumptions'!$D$55+'W Financial Model'!Q16*(1-'W Assumptions'!$D$55)</f>
        <v>84932.347826087</v>
      </c>
      <c r="S16" s="81" t="n">
        <f aca="false">'W Financial Model'!S16*'W Assumptions'!$D$55+'W Financial Model'!R16*(1-'W Assumptions'!$D$55)</f>
        <v>84371.5826086957</v>
      </c>
      <c r="T16" s="81" t="n">
        <f aca="false">'W Financial Model'!T16*'W Assumptions'!$D$55+'W Financial Model'!S16*(1-'W Assumptions'!$D$55)</f>
        <v>97312.0083478261</v>
      </c>
      <c r="U16" s="81" t="n">
        <f aca="false">'W Financial Model'!U16*'W Assumptions'!$D$55+'W Financial Model'!T16*(1-'W Assumptions'!$D$55)</f>
        <v>103436.889113044</v>
      </c>
      <c r="V16" s="81" t="n">
        <f aca="false">'W Financial Model'!V16*'W Assumptions'!$D$55+'W Financial Model'!U16*(1-'W Assumptions'!$D$55)</f>
        <v>107005.297243478</v>
      </c>
      <c r="W16" s="81" t="n">
        <f aca="false">'W Financial Model'!W16*'W Assumptions'!$D$55+'W Financial Model'!V16*(1-'W Assumptions'!$D$55)</f>
        <v>110573.705373913</v>
      </c>
      <c r="X16" s="81" t="n">
        <f aca="false">'W Financial Model'!X16*'W Assumptions'!$D$55+'W Financial Model'!W16*(1-'W Assumptions'!$D$55)</f>
        <v>105577.933991304</v>
      </c>
      <c r="Y16" s="81" t="n">
        <f aca="false">'W Financial Model'!Y16*'W Assumptions'!$D$55+'W Financial Model'!X16*(1-'W Assumptions'!$D$55)</f>
        <v>101295.844234783</v>
      </c>
      <c r="Z16" s="81" t="n">
        <f aca="false">'W Financial Model'!Z16*'W Assumptions'!$D$55+'W Financial Model'!Y16*(1-'W Assumptions'!$D$55)</f>
        <v>112115.615617391</v>
      </c>
      <c r="AA16" s="81" t="n">
        <f aca="false">'W Financial Model'!AA16*'W Assumptions'!$D$55+'W Financial Model'!Z16*(1-'W Assumptions'!$D$55)</f>
        <v>112144.252365217</v>
      </c>
      <c r="AB16" s="81" t="n">
        <f aca="false">'W Financial Model'!AB16*'W Assumptions'!$D$55+'W Financial Model'!AA16*(1-'W Assumptions'!$D$55)</f>
        <v>102751.844234783</v>
      </c>
      <c r="AC16" s="81" t="n">
        <f aca="false">'W Financial Model'!AC16*'W Assumptions'!$D$55+'W Financial Model'!AB16*(1-'W Assumptions'!$D$55)</f>
        <v>94987.2565913044</v>
      </c>
      <c r="AD16" s="81" t="n">
        <f aca="false">'W Financial Model'!AD16*'W Assumptions'!$D$55+'W Financial Model'!AC16*(1-'W Assumptions'!$D$55)</f>
        <v>93588.5300869565</v>
      </c>
      <c r="AE16" s="81" t="n">
        <f aca="false">'W Financial Model'!AE16*'W Assumptions'!$D$55+'W Financial Model'!AD16*(1-'W Assumptions'!$D$55)</f>
        <v>93473.9830956522</v>
      </c>
      <c r="AF16" s="81" t="n">
        <f aca="false">'W Financial Model'!AF16*'W Assumptions'!$D$55+'W Financial Model'!AE16*(1-'W Assumptions'!$D$55)</f>
        <v>106842.880538296</v>
      </c>
      <c r="AG16" s="81" t="n">
        <f aca="false">'W Financial Model'!AG16*'W Assumptions'!$D$55+'W Financial Model'!AF16*(1-'W Assumptions'!$D$55)</f>
        <v>113367.86184935</v>
      </c>
      <c r="AH16" s="81" t="n">
        <f aca="false">'W Financial Model'!AH16*'W Assumptions'!$D$55+'W Financial Model'!AG16*(1-'W Assumptions'!$D$55)</f>
        <v>117337.359053645</v>
      </c>
      <c r="AI16" s="81" t="n">
        <f aca="false">'W Financial Model'!AI16*'W Assumptions'!$D$55+'W Financial Model'!AH16*(1-'W Assumptions'!$D$55)</f>
        <v>121306.856257941</v>
      </c>
      <c r="AJ16" s="81" t="n">
        <f aca="false">'W Financial Model'!AJ16*'W Assumptions'!$D$55+'W Financial Model'!AI16*(1-'W Assumptions'!$D$55)</f>
        <v>115749.560171927</v>
      </c>
      <c r="AK16" s="81" t="n">
        <f aca="false">'W Financial Model'!AK16*'W Assumptions'!$D$55+'W Financial Model'!AJ16*(1-'W Assumptions'!$D$55)</f>
        <v>110986.163526772</v>
      </c>
      <c r="AL16" s="81" t="n">
        <f aca="false">'W Financial Model'!AL16*'W Assumptions'!$D$55+'W Financial Model'!AK16*(1-'W Assumptions'!$D$55)</f>
        <v>122600.419612786</v>
      </c>
      <c r="AM16" s="81" t="n">
        <f aca="false">'W Financial Model'!AM16*'W Assumptions'!$D$55+'W Financial Model'!AL16*(1-'W Assumptions'!$D$55)</f>
        <v>122526.860731068</v>
      </c>
      <c r="AN16" s="81" t="n">
        <f aca="false">'W Financial Model'!AN16*'W Assumptions'!$D$55+'W Financial Model'!AM16*(1-'W Assumptions'!$D$55)</f>
        <v>112500.403526772</v>
      </c>
      <c r="AO16" s="81" t="n">
        <f aca="false">'W Financial Model'!AO16*'W Assumptions'!$D$55+'W Financial Model'!AN16*(1-'W Assumptions'!$D$55)</f>
        <v>103546.833032167</v>
      </c>
      <c r="AP16" s="81" t="n">
        <f aca="false">'W Financial Model'!AP16*'W Assumptions'!$D$55+'W Financial Model'!AO16*(1-'W Assumptions'!$D$55)</f>
        <v>101885.47526873</v>
      </c>
      <c r="AQ16" s="81" t="n">
        <f aca="false">'W Financial Model'!AQ16*'W Assumptions'!$D$55+'W Financial Model'!AP16*(1-'W Assumptions'!$D$55)</f>
        <v>102179.710795603</v>
      </c>
    </row>
    <row r="17" customFormat="false" ht="21" hidden="false" customHeight="true" outlineLevel="0" collapsed="false">
      <c r="C17" s="74" t="s">
        <v>1141</v>
      </c>
      <c r="D17" s="109" t="n">
        <f aca="false">SUM(H17:S17)</f>
        <v>230000</v>
      </c>
      <c r="E17" s="109" t="n">
        <f aca="false">SUM(T17:AE17)</f>
        <v>0</v>
      </c>
      <c r="F17" s="109" t="n">
        <f aca="false">SUM(AF17:AQ17)</f>
        <v>0</v>
      </c>
      <c r="G17" s="79"/>
      <c r="H17" s="81" t="n">
        <f aca="false">'W Financial Model'!H18</f>
        <v>55000</v>
      </c>
      <c r="I17" s="81" t="n">
        <f aca="false">'W Financial Model'!I18</f>
        <v>25000</v>
      </c>
      <c r="J17" s="81" t="n">
        <f aca="false">'W Financial Model'!J18</f>
        <v>35000</v>
      </c>
      <c r="K17" s="81" t="n">
        <f aca="false">'W Financial Model'!K18</f>
        <v>55000</v>
      </c>
      <c r="L17" s="81" t="n">
        <f aca="false">'W Financial Model'!L18</f>
        <v>60000</v>
      </c>
      <c r="M17" s="81" t="n">
        <f aca="false">'W Financial Model'!M18</f>
        <v>0</v>
      </c>
      <c r="N17" s="81" t="n">
        <f aca="false">'W Financial Model'!N18</f>
        <v>0</v>
      </c>
      <c r="O17" s="81" t="n">
        <f aca="false">'W Financial Model'!O18</f>
        <v>0</v>
      </c>
      <c r="P17" s="81" t="n">
        <f aca="false">'W Financial Model'!P18</f>
        <v>0</v>
      </c>
      <c r="Q17" s="81" t="n">
        <f aca="false">'W Financial Model'!Q18</f>
        <v>0</v>
      </c>
      <c r="R17" s="81" t="n">
        <f aca="false">'W Financial Model'!R18</f>
        <v>0</v>
      </c>
      <c r="S17" s="81" t="n">
        <f aca="false">'W Financial Model'!S18</f>
        <v>0</v>
      </c>
      <c r="T17" s="81" t="n">
        <f aca="false">'W Financial Model'!T18</f>
        <v>0</v>
      </c>
      <c r="U17" s="81" t="n">
        <f aca="false">'W Financial Model'!U18</f>
        <v>0</v>
      </c>
      <c r="V17" s="81" t="n">
        <f aca="false">'W Financial Model'!V18</f>
        <v>0</v>
      </c>
      <c r="W17" s="81" t="n">
        <f aca="false">'W Financial Model'!W18</f>
        <v>0</v>
      </c>
      <c r="X17" s="81" t="n">
        <f aca="false">'W Financial Model'!X18</f>
        <v>0</v>
      </c>
      <c r="Y17" s="81" t="n">
        <f aca="false">'W Financial Model'!Y18</f>
        <v>0</v>
      </c>
      <c r="Z17" s="81" t="n">
        <f aca="false">'W Financial Model'!Z18</f>
        <v>0</v>
      </c>
      <c r="AA17" s="81" t="n">
        <f aca="false">'W Financial Model'!AA18</f>
        <v>0</v>
      </c>
      <c r="AB17" s="81" t="n">
        <f aca="false">'W Financial Model'!AB18</f>
        <v>0</v>
      </c>
      <c r="AC17" s="81" t="n">
        <f aca="false">'W Financial Model'!AC18</f>
        <v>0</v>
      </c>
      <c r="AD17" s="81" t="n">
        <f aca="false">'W Financial Model'!AD18</f>
        <v>0</v>
      </c>
      <c r="AE17" s="81" t="n">
        <f aca="false">'W Financial Model'!AE18</f>
        <v>0</v>
      </c>
      <c r="AF17" s="81" t="n">
        <f aca="false">'W Financial Model'!AF18</f>
        <v>0</v>
      </c>
      <c r="AG17" s="81" t="n">
        <f aca="false">'W Financial Model'!AG18</f>
        <v>0</v>
      </c>
      <c r="AH17" s="81" t="n">
        <f aca="false">'W Financial Model'!AH18</f>
        <v>0</v>
      </c>
      <c r="AI17" s="81" t="n">
        <f aca="false">'W Financial Model'!AI18</f>
        <v>0</v>
      </c>
      <c r="AJ17" s="81" t="n">
        <f aca="false">'W Financial Model'!AJ18</f>
        <v>0</v>
      </c>
      <c r="AK17" s="81" t="n">
        <f aca="false">'W Financial Model'!AK18</f>
        <v>0</v>
      </c>
      <c r="AL17" s="81" t="n">
        <f aca="false">'W Financial Model'!AL18</f>
        <v>0</v>
      </c>
      <c r="AM17" s="81" t="n">
        <f aca="false">'W Financial Model'!AM18</f>
        <v>0</v>
      </c>
      <c r="AN17" s="81" t="n">
        <f aca="false">'W Financial Model'!AN18</f>
        <v>0</v>
      </c>
      <c r="AO17" s="81" t="n">
        <f aca="false">'W Financial Model'!AO18</f>
        <v>0</v>
      </c>
      <c r="AP17" s="81" t="n">
        <f aca="false">'W Financial Model'!AP18</f>
        <v>0</v>
      </c>
      <c r="AQ17" s="81" t="n">
        <f aca="false">'W Financial Model'!AQ18</f>
        <v>0</v>
      </c>
    </row>
    <row r="18" customFormat="false" ht="21" hidden="false" customHeight="true" outlineLevel="0" collapsed="false">
      <c r="C18" s="74" t="s">
        <v>1142</v>
      </c>
      <c r="D18" s="109" t="n">
        <f aca="false">SUM(H18:S18)</f>
        <v>1140180</v>
      </c>
      <c r="E18" s="109" t="n">
        <f aca="false">SUM(T18:AE18)</f>
        <v>3132345</v>
      </c>
      <c r="F18" s="109" t="n">
        <f aca="false">SUM(AF18:AQ18)</f>
        <v>6004005</v>
      </c>
      <c r="G18" s="79"/>
      <c r="H18" s="81" t="n">
        <f aca="false">SUMIFS('W Program Monthly'!$N$6:$N$509,'W Program Monthly'!$C$6:$C$509,H$6)</f>
        <v>0</v>
      </c>
      <c r="I18" s="81" t="n">
        <f aca="false">SUMIFS('W Program Monthly'!$N$6:$N$509,'W Program Monthly'!$C$6:$C$509,I$6)</f>
        <v>24520</v>
      </c>
      <c r="J18" s="81" t="n">
        <f aca="false">SUMIFS('W Program Monthly'!$N$6:$N$509,'W Program Monthly'!$C$6:$C$509,J$6)</f>
        <v>55170</v>
      </c>
      <c r="K18" s="81" t="n">
        <f aca="false">SUMIFS('W Program Monthly'!$N$6:$N$509,'W Program Monthly'!$C$6:$C$509,K$6)</f>
        <v>85820</v>
      </c>
      <c r="L18" s="81" t="n">
        <f aca="false">SUMIFS('W Program Monthly'!$N$6:$N$509,'W Program Monthly'!$C$6:$C$509,L$6)</f>
        <v>116470</v>
      </c>
      <c r="M18" s="81" t="n">
        <f aca="false">SUMIFS('W Program Monthly'!$N$6:$N$509,'W Program Monthly'!$C$6:$C$509,M$6)</f>
        <v>122600</v>
      </c>
      <c r="N18" s="81" t="n">
        <f aca="false">SUMIFS('W Program Monthly'!$N$6:$N$509,'W Program Monthly'!$C$6:$C$509,N$6)</f>
        <v>122600</v>
      </c>
      <c r="O18" s="81" t="n">
        <f aca="false">SUMIFS('W Program Monthly'!$N$6:$N$509,'W Program Monthly'!$C$6:$C$509,O$6)</f>
        <v>122600</v>
      </c>
      <c r="P18" s="81" t="n">
        <f aca="false">SUMIFS('W Program Monthly'!$N$6:$N$509,'W Program Monthly'!$C$6:$C$509,P$6)</f>
        <v>122600</v>
      </c>
      <c r="Q18" s="81" t="n">
        <f aca="false">SUMIFS('W Program Monthly'!$N$6:$N$509,'W Program Monthly'!$C$6:$C$509,Q$6)</f>
        <v>122600</v>
      </c>
      <c r="R18" s="81" t="n">
        <f aca="false">SUMIFS('W Program Monthly'!$N$6:$N$509,'W Program Monthly'!$C$6:$C$509,R$6)</f>
        <v>122600</v>
      </c>
      <c r="S18" s="81" t="n">
        <f aca="false">SUMIFS('W Program Monthly'!$N$6:$N$509,'W Program Monthly'!$C$6:$C$509,S$6)</f>
        <v>122600</v>
      </c>
      <c r="T18" s="81" t="n">
        <f aca="false">SUMIFS('W Program Monthly'!$N$6:$N$509,'W Program Monthly'!$C$6:$C$509,T$6)</f>
        <v>235220</v>
      </c>
      <c r="U18" s="81" t="n">
        <f aca="false">SUMIFS('W Program Monthly'!$N$6:$N$509,'W Program Monthly'!$C$6:$C$509,U$6)</f>
        <v>263375</v>
      </c>
      <c r="V18" s="81" t="n">
        <f aca="false">SUMIFS('W Program Monthly'!$N$6:$N$509,'W Program Monthly'!$C$6:$C$509,V$6)</f>
        <v>263375</v>
      </c>
      <c r="W18" s="81" t="n">
        <f aca="false">SUMIFS('W Program Monthly'!$N$6:$N$509,'W Program Monthly'!$C$6:$C$509,W$6)</f>
        <v>263375</v>
      </c>
      <c r="X18" s="81" t="n">
        <f aca="false">SUMIFS('W Program Monthly'!$N$6:$N$509,'W Program Monthly'!$C$6:$C$509,X$6)</f>
        <v>263375</v>
      </c>
      <c r="Y18" s="81" t="n">
        <f aca="false">SUMIFS('W Program Monthly'!$N$6:$N$509,'W Program Monthly'!$C$6:$C$509,Y$6)</f>
        <v>263375</v>
      </c>
      <c r="Z18" s="81" t="n">
        <f aca="false">SUMIFS('W Program Monthly'!$N$6:$N$509,'W Program Monthly'!$C$6:$C$509,Z$6)</f>
        <v>263375</v>
      </c>
      <c r="AA18" s="81" t="n">
        <f aca="false">SUMIFS('W Program Monthly'!$N$6:$N$509,'W Program Monthly'!$C$6:$C$509,AA$6)</f>
        <v>263375</v>
      </c>
      <c r="AB18" s="81" t="n">
        <f aca="false">SUMIFS('W Program Monthly'!$N$6:$N$509,'W Program Monthly'!$C$6:$C$509,AB$6)</f>
        <v>263375</v>
      </c>
      <c r="AC18" s="81" t="n">
        <f aca="false">SUMIFS('W Program Monthly'!$N$6:$N$509,'W Program Monthly'!$C$6:$C$509,AC$6)</f>
        <v>263375</v>
      </c>
      <c r="AD18" s="81" t="n">
        <f aca="false">SUMIFS('W Program Monthly'!$N$6:$N$509,'W Program Monthly'!$C$6:$C$509,AD$6)</f>
        <v>263375</v>
      </c>
      <c r="AE18" s="81" t="n">
        <f aca="false">SUMIFS('W Program Monthly'!$N$6:$N$509,'W Program Monthly'!$C$6:$C$509,AE$6)</f>
        <v>263375</v>
      </c>
      <c r="AF18" s="81" t="n">
        <f aca="false">SUMIFS('W Program Monthly'!$N$6:$N$509,'W Program Monthly'!$C$6:$C$509,AF$6)</f>
        <v>456155</v>
      </c>
      <c r="AG18" s="81" t="n">
        <f aca="false">SUMIFS('W Program Monthly'!$N$6:$N$509,'W Program Monthly'!$C$6:$C$509,AG$6)</f>
        <v>504350</v>
      </c>
      <c r="AH18" s="81" t="n">
        <f aca="false">SUMIFS('W Program Monthly'!$N$6:$N$509,'W Program Monthly'!$C$6:$C$509,AH$6)</f>
        <v>504350</v>
      </c>
      <c r="AI18" s="81" t="n">
        <f aca="false">SUMIFS('W Program Monthly'!$N$6:$N$509,'W Program Monthly'!$C$6:$C$509,AI$6)</f>
        <v>504350</v>
      </c>
      <c r="AJ18" s="81" t="n">
        <f aca="false">SUMIFS('W Program Monthly'!$N$6:$N$509,'W Program Monthly'!$C$6:$C$509,AJ$6)</f>
        <v>504350</v>
      </c>
      <c r="AK18" s="81" t="n">
        <f aca="false">SUMIFS('W Program Monthly'!$N$6:$N$509,'W Program Monthly'!$C$6:$C$509,AK$6)</f>
        <v>504350</v>
      </c>
      <c r="AL18" s="81" t="n">
        <f aca="false">SUMIFS('W Program Monthly'!$N$6:$N$509,'W Program Monthly'!$C$6:$C$509,AL$6)</f>
        <v>504350</v>
      </c>
      <c r="AM18" s="81" t="n">
        <f aca="false">SUMIFS('W Program Monthly'!$N$6:$N$509,'W Program Monthly'!$C$6:$C$509,AM$6)</f>
        <v>504350</v>
      </c>
      <c r="AN18" s="81" t="n">
        <f aca="false">SUMIFS('W Program Monthly'!$N$6:$N$509,'W Program Monthly'!$C$6:$C$509,AN$6)</f>
        <v>504350</v>
      </c>
      <c r="AO18" s="81" t="n">
        <f aca="false">SUMIFS('W Program Monthly'!$N$6:$N$509,'W Program Monthly'!$C$6:$C$509,AO$6)</f>
        <v>504350</v>
      </c>
      <c r="AP18" s="81" t="n">
        <f aca="false">SUMIFS('W Program Monthly'!$N$6:$N$509,'W Program Monthly'!$C$6:$C$509,AP$6)</f>
        <v>504350</v>
      </c>
      <c r="AQ18" s="81" t="n">
        <f aca="false">SUMIFS('W Program Monthly'!$N$6:$N$509,'W Program Monthly'!$C$6:$C$509,AQ$6)</f>
        <v>504350</v>
      </c>
    </row>
    <row r="19" customFormat="false" ht="21" hidden="false" customHeight="true" outlineLevel="0" collapsed="false">
      <c r="C19" s="74" t="s">
        <v>1143</v>
      </c>
      <c r="D19" s="109" t="n">
        <f aca="false">SUM(H19:S19)</f>
        <v>88000</v>
      </c>
      <c r="E19" s="109" t="n">
        <f aca="false">SUM(T19:AE19)</f>
        <v>99840</v>
      </c>
      <c r="F19" s="109" t="n">
        <f aca="false">SUM(AF19:AQ19)</f>
        <v>103833.6</v>
      </c>
      <c r="G19" s="79"/>
      <c r="H19" s="81" t="n">
        <f aca="false">'W Financial Model'!H25</f>
        <v>0</v>
      </c>
      <c r="I19" s="81" t="n">
        <f aca="false">'W Financial Model'!I25</f>
        <v>8000</v>
      </c>
      <c r="J19" s="81" t="n">
        <f aca="false">'W Financial Model'!J25</f>
        <v>8000</v>
      </c>
      <c r="K19" s="81" t="n">
        <f aca="false">'W Financial Model'!K25</f>
        <v>8000</v>
      </c>
      <c r="L19" s="81" t="n">
        <f aca="false">'W Financial Model'!L25</f>
        <v>8000</v>
      </c>
      <c r="M19" s="81" t="n">
        <f aca="false">'W Financial Model'!M25</f>
        <v>8000</v>
      </c>
      <c r="N19" s="81" t="n">
        <f aca="false">'W Financial Model'!N25</f>
        <v>8000</v>
      </c>
      <c r="O19" s="81" t="n">
        <f aca="false">'W Financial Model'!O25</f>
        <v>8000</v>
      </c>
      <c r="P19" s="81" t="n">
        <f aca="false">'W Financial Model'!P25</f>
        <v>8000</v>
      </c>
      <c r="Q19" s="81" t="n">
        <f aca="false">'W Financial Model'!Q25</f>
        <v>8000</v>
      </c>
      <c r="R19" s="81" t="n">
        <f aca="false">'W Financial Model'!R25</f>
        <v>8000</v>
      </c>
      <c r="S19" s="81" t="n">
        <f aca="false">'W Financial Model'!S25</f>
        <v>8000</v>
      </c>
      <c r="T19" s="81" t="n">
        <f aca="false">'W Financial Model'!T25</f>
        <v>8320</v>
      </c>
      <c r="U19" s="81" t="n">
        <f aca="false">'W Financial Model'!U25</f>
        <v>8320</v>
      </c>
      <c r="V19" s="81" t="n">
        <f aca="false">'W Financial Model'!V25</f>
        <v>8320</v>
      </c>
      <c r="W19" s="81" t="n">
        <f aca="false">'W Financial Model'!W25</f>
        <v>8320</v>
      </c>
      <c r="X19" s="81" t="n">
        <f aca="false">'W Financial Model'!X25</f>
        <v>8320</v>
      </c>
      <c r="Y19" s="81" t="n">
        <f aca="false">'W Financial Model'!Y25</f>
        <v>8320</v>
      </c>
      <c r="Z19" s="81" t="n">
        <f aca="false">'W Financial Model'!Z25</f>
        <v>8320</v>
      </c>
      <c r="AA19" s="81" t="n">
        <f aca="false">'W Financial Model'!AA25</f>
        <v>8320</v>
      </c>
      <c r="AB19" s="81" t="n">
        <f aca="false">'W Financial Model'!AB25</f>
        <v>8320</v>
      </c>
      <c r="AC19" s="81" t="n">
        <f aca="false">'W Financial Model'!AC25</f>
        <v>8320</v>
      </c>
      <c r="AD19" s="81" t="n">
        <f aca="false">'W Financial Model'!AD25</f>
        <v>8320</v>
      </c>
      <c r="AE19" s="81" t="n">
        <f aca="false">'W Financial Model'!AE25</f>
        <v>8320</v>
      </c>
      <c r="AF19" s="81" t="n">
        <f aca="false">'W Financial Model'!AF25</f>
        <v>8652.8</v>
      </c>
      <c r="AG19" s="81" t="n">
        <f aca="false">'W Financial Model'!AG25</f>
        <v>8652.8</v>
      </c>
      <c r="AH19" s="81" t="n">
        <f aca="false">'W Financial Model'!AH25</f>
        <v>8652.8</v>
      </c>
      <c r="AI19" s="81" t="n">
        <f aca="false">'W Financial Model'!AI25</f>
        <v>8652.8</v>
      </c>
      <c r="AJ19" s="81" t="n">
        <f aca="false">'W Financial Model'!AJ25</f>
        <v>8652.8</v>
      </c>
      <c r="AK19" s="81" t="n">
        <f aca="false">'W Financial Model'!AK25</f>
        <v>8652.8</v>
      </c>
      <c r="AL19" s="81" t="n">
        <f aca="false">'W Financial Model'!AL25</f>
        <v>8652.8</v>
      </c>
      <c r="AM19" s="81" t="n">
        <f aca="false">'W Financial Model'!AM25</f>
        <v>8652.8</v>
      </c>
      <c r="AN19" s="81" t="n">
        <f aca="false">'W Financial Model'!AN25</f>
        <v>8652.8</v>
      </c>
      <c r="AO19" s="81" t="n">
        <f aca="false">'W Financial Model'!AO25</f>
        <v>8652.8</v>
      </c>
      <c r="AP19" s="81" t="n">
        <f aca="false">'W Financial Model'!AP25</f>
        <v>8652.8</v>
      </c>
      <c r="AQ19" s="81" t="n">
        <f aca="false">'W Financial Model'!AQ25</f>
        <v>8652.8</v>
      </c>
    </row>
    <row r="20" customFormat="false" ht="21" hidden="false" customHeight="true" outlineLevel="0" collapsed="false">
      <c r="C20" s="74" t="s">
        <v>1144</v>
      </c>
      <c r="D20" s="109" t="n">
        <f aca="false">SUM(H20:S20)</f>
        <v>275000</v>
      </c>
      <c r="E20" s="109" t="n">
        <f aca="false">SUM(T20:AE20)</f>
        <v>372000</v>
      </c>
      <c r="F20" s="109" t="n">
        <f aca="false">SUM(AF20:AQ20)</f>
        <v>456000</v>
      </c>
      <c r="G20" s="79"/>
      <c r="H20" s="81" t="n">
        <f aca="false">'W Financial Model'!H26</f>
        <v>0</v>
      </c>
      <c r="I20" s="81" t="n">
        <f aca="false">'W Financial Model'!I26</f>
        <v>25000</v>
      </c>
      <c r="J20" s="81" t="n">
        <f aca="false">'W Financial Model'!J26</f>
        <v>25000</v>
      </c>
      <c r="K20" s="81" t="n">
        <f aca="false">'W Financial Model'!K26</f>
        <v>25000</v>
      </c>
      <c r="L20" s="81" t="n">
        <f aca="false">'W Financial Model'!L26</f>
        <v>25000</v>
      </c>
      <c r="M20" s="81" t="n">
        <f aca="false">'W Financial Model'!M26</f>
        <v>25000</v>
      </c>
      <c r="N20" s="81" t="n">
        <f aca="false">'W Financial Model'!N26</f>
        <v>25000</v>
      </c>
      <c r="O20" s="81" t="n">
        <f aca="false">'W Financial Model'!O26</f>
        <v>25000</v>
      </c>
      <c r="P20" s="81" t="n">
        <f aca="false">'W Financial Model'!P26</f>
        <v>25000</v>
      </c>
      <c r="Q20" s="81" t="n">
        <f aca="false">'W Financial Model'!Q26</f>
        <v>25000</v>
      </c>
      <c r="R20" s="81" t="n">
        <f aca="false">'W Financial Model'!R26</f>
        <v>25000</v>
      </c>
      <c r="S20" s="81" t="n">
        <f aca="false">'W Financial Model'!S26</f>
        <v>25000</v>
      </c>
      <c r="T20" s="81" t="n">
        <f aca="false">'W Financial Model'!T26</f>
        <v>31000</v>
      </c>
      <c r="U20" s="81" t="n">
        <f aca="false">'W Financial Model'!U26</f>
        <v>31000</v>
      </c>
      <c r="V20" s="81" t="n">
        <f aca="false">'W Financial Model'!V26</f>
        <v>31000</v>
      </c>
      <c r="W20" s="81" t="n">
        <f aca="false">'W Financial Model'!W26</f>
        <v>31000</v>
      </c>
      <c r="X20" s="81" t="n">
        <f aca="false">'W Financial Model'!X26</f>
        <v>31000</v>
      </c>
      <c r="Y20" s="81" t="n">
        <f aca="false">'W Financial Model'!Y26</f>
        <v>31000</v>
      </c>
      <c r="Z20" s="81" t="n">
        <f aca="false">'W Financial Model'!Z26</f>
        <v>31000</v>
      </c>
      <c r="AA20" s="81" t="n">
        <f aca="false">'W Financial Model'!AA26</f>
        <v>31000</v>
      </c>
      <c r="AB20" s="81" t="n">
        <f aca="false">'W Financial Model'!AB26</f>
        <v>31000</v>
      </c>
      <c r="AC20" s="81" t="n">
        <f aca="false">'W Financial Model'!AC26</f>
        <v>31000</v>
      </c>
      <c r="AD20" s="81" t="n">
        <f aca="false">'W Financial Model'!AD26</f>
        <v>31000</v>
      </c>
      <c r="AE20" s="81" t="n">
        <f aca="false">'W Financial Model'!AE26</f>
        <v>31000</v>
      </c>
      <c r="AF20" s="81" t="n">
        <f aca="false">'W Financial Model'!AF26</f>
        <v>38000</v>
      </c>
      <c r="AG20" s="81" t="n">
        <f aca="false">'W Financial Model'!AG26</f>
        <v>38000</v>
      </c>
      <c r="AH20" s="81" t="n">
        <f aca="false">'W Financial Model'!AH26</f>
        <v>38000</v>
      </c>
      <c r="AI20" s="81" t="n">
        <f aca="false">'W Financial Model'!AI26</f>
        <v>38000</v>
      </c>
      <c r="AJ20" s="81" t="n">
        <f aca="false">'W Financial Model'!AJ26</f>
        <v>38000</v>
      </c>
      <c r="AK20" s="81" t="n">
        <f aca="false">'W Financial Model'!AK26</f>
        <v>38000</v>
      </c>
      <c r="AL20" s="81" t="n">
        <f aca="false">'W Financial Model'!AL26</f>
        <v>38000</v>
      </c>
      <c r="AM20" s="81" t="n">
        <f aca="false">'W Financial Model'!AM26</f>
        <v>38000</v>
      </c>
      <c r="AN20" s="81" t="n">
        <f aca="false">'W Financial Model'!AN26</f>
        <v>38000</v>
      </c>
      <c r="AO20" s="81" t="n">
        <f aca="false">'W Financial Model'!AO26</f>
        <v>38000</v>
      </c>
      <c r="AP20" s="81" t="n">
        <f aca="false">'W Financial Model'!AP26</f>
        <v>38000</v>
      </c>
      <c r="AQ20" s="81" t="n">
        <f aca="false">'W Financial Model'!AQ26</f>
        <v>38000</v>
      </c>
    </row>
    <row r="21" customFormat="false" ht="21" hidden="false" customHeight="true" outlineLevel="0" collapsed="false">
      <c r="C21" s="74" t="s">
        <v>1145</v>
      </c>
      <c r="D21" s="109" t="n">
        <f aca="false">SUM(H21:S21)</f>
        <v>130000</v>
      </c>
      <c r="E21" s="109" t="n">
        <f aca="false">SUM(T21:AE21)</f>
        <v>0</v>
      </c>
      <c r="F21" s="109" t="n">
        <f aca="false">SUM(AF21:AQ21)</f>
        <v>0</v>
      </c>
      <c r="G21" s="79"/>
      <c r="H21" s="81" t="n">
        <f aca="false">SUM('W Financial Model'!H27:H28)</f>
        <v>0</v>
      </c>
      <c r="I21" s="81" t="n">
        <f aca="false">SUM('W Financial Model'!I27:I28)</f>
        <v>130000</v>
      </c>
      <c r="J21" s="81" t="n">
        <f aca="false">SUM('W Financial Model'!J27:J28)</f>
        <v>0</v>
      </c>
      <c r="K21" s="81" t="n">
        <f aca="false">SUM('W Financial Model'!K27:K28)</f>
        <v>0</v>
      </c>
      <c r="L21" s="81" t="n">
        <f aca="false">SUM('W Financial Model'!L27:L28)</f>
        <v>0</v>
      </c>
      <c r="M21" s="81" t="n">
        <f aca="false">SUM('W Financial Model'!M27:M28)</f>
        <v>0</v>
      </c>
      <c r="N21" s="81" t="n">
        <f aca="false">SUM('W Financial Model'!N27:N28)</f>
        <v>0</v>
      </c>
      <c r="O21" s="81" t="n">
        <f aca="false">SUM('W Financial Model'!O27:O28)</f>
        <v>0</v>
      </c>
      <c r="P21" s="81" t="n">
        <f aca="false">SUM('W Financial Model'!P27:P28)</f>
        <v>0</v>
      </c>
      <c r="Q21" s="81" t="n">
        <f aca="false">SUM('W Financial Model'!Q27:Q28)</f>
        <v>0</v>
      </c>
      <c r="R21" s="81" t="n">
        <f aca="false">SUM('W Financial Model'!R27:R28)</f>
        <v>0</v>
      </c>
      <c r="S21" s="81" t="n">
        <f aca="false">SUM('W Financial Model'!S27:S28)</f>
        <v>0</v>
      </c>
      <c r="T21" s="81" t="n">
        <f aca="false">SUM('W Financial Model'!T27:T28)</f>
        <v>0</v>
      </c>
      <c r="U21" s="81" t="n">
        <f aca="false">SUM('W Financial Model'!U27:U28)</f>
        <v>0</v>
      </c>
      <c r="V21" s="81" t="n">
        <f aca="false">SUM('W Financial Model'!V27:V28)</f>
        <v>0</v>
      </c>
      <c r="W21" s="81" t="n">
        <f aca="false">SUM('W Financial Model'!W27:W28)</f>
        <v>0</v>
      </c>
      <c r="X21" s="81" t="n">
        <f aca="false">SUM('W Financial Model'!X27:X28)</f>
        <v>0</v>
      </c>
      <c r="Y21" s="81" t="n">
        <f aca="false">SUM('W Financial Model'!Y27:Y28)</f>
        <v>0</v>
      </c>
      <c r="Z21" s="81" t="n">
        <f aca="false">SUM('W Financial Model'!Z27:Z28)</f>
        <v>0</v>
      </c>
      <c r="AA21" s="81" t="n">
        <f aca="false">SUM('W Financial Model'!AA27:AA28)</f>
        <v>0</v>
      </c>
      <c r="AB21" s="81" t="n">
        <f aca="false">SUM('W Financial Model'!AB27:AB28)</f>
        <v>0</v>
      </c>
      <c r="AC21" s="81" t="n">
        <f aca="false">SUM('W Financial Model'!AC27:AC28)</f>
        <v>0</v>
      </c>
      <c r="AD21" s="81" t="n">
        <f aca="false">SUM('W Financial Model'!AD27:AD28)</f>
        <v>0</v>
      </c>
      <c r="AE21" s="81" t="n">
        <f aca="false">SUM('W Financial Model'!AE27:AE28)</f>
        <v>0</v>
      </c>
      <c r="AF21" s="81" t="n">
        <f aca="false">SUM('W Financial Model'!AF27:AF28)</f>
        <v>0</v>
      </c>
      <c r="AG21" s="81" t="n">
        <f aca="false">SUM('W Financial Model'!AG27:AG28)</f>
        <v>0</v>
      </c>
      <c r="AH21" s="81" t="n">
        <f aca="false">SUM('W Financial Model'!AH27:AH28)</f>
        <v>0</v>
      </c>
      <c r="AI21" s="81" t="n">
        <f aca="false">SUM('W Financial Model'!AI27:AI28)</f>
        <v>0</v>
      </c>
      <c r="AJ21" s="81" t="n">
        <f aca="false">SUM('W Financial Model'!AJ27:AJ28)</f>
        <v>0</v>
      </c>
      <c r="AK21" s="81" t="n">
        <f aca="false">SUM('W Financial Model'!AK27:AK28)</f>
        <v>0</v>
      </c>
      <c r="AL21" s="81" t="n">
        <f aca="false">SUM('W Financial Model'!AL27:AL28)</f>
        <v>0</v>
      </c>
      <c r="AM21" s="81" t="n">
        <f aca="false">SUM('W Financial Model'!AM27:AM28)</f>
        <v>0</v>
      </c>
      <c r="AN21" s="81" t="n">
        <f aca="false">SUM('W Financial Model'!AN27:AN28)</f>
        <v>0</v>
      </c>
      <c r="AO21" s="81" t="n">
        <f aca="false">SUM('W Financial Model'!AO27:AO28)</f>
        <v>0</v>
      </c>
      <c r="AP21" s="81" t="n">
        <f aca="false">SUM('W Financial Model'!AP27:AP28)</f>
        <v>0</v>
      </c>
      <c r="AQ21" s="81" t="n">
        <f aca="false">SUM('W Financial Model'!AQ27:AQ28)</f>
        <v>0</v>
      </c>
    </row>
    <row r="22" customFormat="false" ht="28.5" hidden="false" customHeight="true" outlineLevel="0" collapsed="false">
      <c r="C22" s="111" t="s">
        <v>1146</v>
      </c>
      <c r="D22" s="109" t="n">
        <f aca="false">SUM(H22:S22)</f>
        <v>238700</v>
      </c>
      <c r="E22" s="109" t="n">
        <f aca="false">SUM(T22:AE22)</f>
        <v>260400</v>
      </c>
      <c r="F22" s="109" t="n">
        <f aca="false">SUM(AF22:AQ22)</f>
        <v>260400</v>
      </c>
      <c r="G22" s="79"/>
      <c r="H22" s="81" t="n">
        <f aca="false">'W Financial Model'!H29</f>
        <v>0</v>
      </c>
      <c r="I22" s="81" t="n">
        <f aca="false">'W Financial Model'!I29</f>
        <v>21700</v>
      </c>
      <c r="J22" s="81" t="n">
        <f aca="false">'W Financial Model'!J29</f>
        <v>21700</v>
      </c>
      <c r="K22" s="81" t="n">
        <f aca="false">'W Financial Model'!K29</f>
        <v>21700</v>
      </c>
      <c r="L22" s="81" t="n">
        <f aca="false">'W Financial Model'!L29</f>
        <v>21700</v>
      </c>
      <c r="M22" s="81" t="n">
        <f aca="false">'W Financial Model'!M29</f>
        <v>21700</v>
      </c>
      <c r="N22" s="81" t="n">
        <f aca="false">'W Financial Model'!N29</f>
        <v>21700</v>
      </c>
      <c r="O22" s="81" t="n">
        <f aca="false">'W Financial Model'!O29</f>
        <v>21700</v>
      </c>
      <c r="P22" s="81" t="n">
        <f aca="false">'W Financial Model'!P29</f>
        <v>21700</v>
      </c>
      <c r="Q22" s="81" t="n">
        <f aca="false">'W Financial Model'!Q29</f>
        <v>21700</v>
      </c>
      <c r="R22" s="81" t="n">
        <f aca="false">'W Financial Model'!R29</f>
        <v>21700</v>
      </c>
      <c r="S22" s="81" t="n">
        <f aca="false">'W Financial Model'!S29</f>
        <v>21700</v>
      </c>
      <c r="T22" s="81" t="n">
        <f aca="false">'W Financial Model'!T29</f>
        <v>21700</v>
      </c>
      <c r="U22" s="81" t="n">
        <f aca="false">'W Financial Model'!U29</f>
        <v>21700</v>
      </c>
      <c r="V22" s="81" t="n">
        <f aca="false">'W Financial Model'!V29</f>
        <v>21700</v>
      </c>
      <c r="W22" s="81" t="n">
        <f aca="false">'W Financial Model'!W29</f>
        <v>21700</v>
      </c>
      <c r="X22" s="81" t="n">
        <f aca="false">'W Financial Model'!X29</f>
        <v>21700</v>
      </c>
      <c r="Y22" s="81" t="n">
        <f aca="false">'W Financial Model'!Y29</f>
        <v>21700</v>
      </c>
      <c r="Z22" s="81" t="n">
        <f aca="false">'W Financial Model'!Z29</f>
        <v>21700</v>
      </c>
      <c r="AA22" s="81" t="n">
        <f aca="false">'W Financial Model'!AA29</f>
        <v>21700</v>
      </c>
      <c r="AB22" s="81" t="n">
        <f aca="false">'W Financial Model'!AB29</f>
        <v>21700</v>
      </c>
      <c r="AC22" s="81" t="n">
        <f aca="false">'W Financial Model'!AC29</f>
        <v>21700</v>
      </c>
      <c r="AD22" s="81" t="n">
        <f aca="false">'W Financial Model'!AD29</f>
        <v>21700</v>
      </c>
      <c r="AE22" s="81" t="n">
        <f aca="false">'W Financial Model'!AE29</f>
        <v>21700</v>
      </c>
      <c r="AF22" s="81" t="n">
        <f aca="false">'W Financial Model'!AF29</f>
        <v>21700</v>
      </c>
      <c r="AG22" s="81" t="n">
        <f aca="false">'W Financial Model'!AG29</f>
        <v>21700</v>
      </c>
      <c r="AH22" s="81" t="n">
        <f aca="false">'W Financial Model'!AH29</f>
        <v>21700</v>
      </c>
      <c r="AI22" s="81" t="n">
        <f aca="false">'W Financial Model'!AI29</f>
        <v>21700</v>
      </c>
      <c r="AJ22" s="81" t="n">
        <f aca="false">'W Financial Model'!AJ29</f>
        <v>21700</v>
      </c>
      <c r="AK22" s="81" t="n">
        <f aca="false">'W Financial Model'!AK29</f>
        <v>21700</v>
      </c>
      <c r="AL22" s="81" t="n">
        <f aca="false">'W Financial Model'!AL29</f>
        <v>21700</v>
      </c>
      <c r="AM22" s="81" t="n">
        <f aca="false">'W Financial Model'!AM29</f>
        <v>21700</v>
      </c>
      <c r="AN22" s="81" t="n">
        <f aca="false">'W Financial Model'!AN29</f>
        <v>21700</v>
      </c>
      <c r="AO22" s="81" t="n">
        <f aca="false">'W Financial Model'!AO29</f>
        <v>21700</v>
      </c>
      <c r="AP22" s="81" t="n">
        <f aca="false">'W Financial Model'!AP29</f>
        <v>21700</v>
      </c>
      <c r="AQ22" s="81" t="n">
        <f aca="false">'W Financial Model'!AQ29</f>
        <v>21700</v>
      </c>
    </row>
    <row r="23" customFormat="false" ht="21" hidden="false" customHeight="true" outlineLevel="0" collapsed="false">
      <c r="C23" s="74" t="s">
        <v>1147</v>
      </c>
      <c r="D23" s="109" t="n">
        <f aca="false">SUM(H23:S23)</f>
        <v>164402.092308313</v>
      </c>
      <c r="E23" s="109" t="n">
        <f aca="false">SUM(T23:AE23)</f>
        <v>481929.073653318</v>
      </c>
      <c r="F23" s="109" t="n">
        <f aca="false">SUM(AF23:AQ23)</f>
        <v>698177.266783974</v>
      </c>
      <c r="G23" s="79"/>
      <c r="H23" s="112" t="n">
        <f aca="false">'W Fees &amp; KPI'!T6</f>
        <v>0</v>
      </c>
      <c r="I23" s="112" t="n">
        <f aca="false">'W Fees &amp; KPI'!T7</f>
        <v>0</v>
      </c>
      <c r="J23" s="112" t="n">
        <f aca="false">'W Fees &amp; KPI'!T8</f>
        <v>0</v>
      </c>
      <c r="K23" s="112" t="n">
        <f aca="false">'W Fees &amp; KPI'!T9</f>
        <v>0</v>
      </c>
      <c r="L23" s="112" t="n">
        <f aca="false">'W Fees &amp; KPI'!T10</f>
        <v>0</v>
      </c>
      <c r="M23" s="112" t="n">
        <f aca="false">'W Fees &amp; KPI'!T11</f>
        <v>11376.8709957924</v>
      </c>
      <c r="N23" s="112" t="n">
        <f aca="false">'W Fees &amp; KPI'!T12</f>
        <v>0</v>
      </c>
      <c r="O23" s="112" t="n">
        <f aca="false">'W Fees &amp; KPI'!T13</f>
        <v>0</v>
      </c>
      <c r="P23" s="112" t="n">
        <f aca="false">'W Fees &amp; KPI'!T14</f>
        <v>63307.6382461589</v>
      </c>
      <c r="Q23" s="112" t="n">
        <f aca="false">'W Fees &amp; KPI'!T15</f>
        <v>0</v>
      </c>
      <c r="R23" s="112" t="n">
        <f aca="false">'W Fees &amp; KPI'!T16</f>
        <v>0</v>
      </c>
      <c r="S23" s="112" t="n">
        <f aca="false">'W Fees &amp; KPI'!T17</f>
        <v>89717.5830663616</v>
      </c>
      <c r="T23" s="112" t="n">
        <f aca="false">'W Fees &amp; KPI'!T18</f>
        <v>0</v>
      </c>
      <c r="U23" s="112" t="n">
        <f aca="false">'W Fees &amp; KPI'!T19</f>
        <v>0</v>
      </c>
      <c r="V23" s="112" t="n">
        <f aca="false">'W Fees &amp; KPI'!T20</f>
        <v>83640.1287185355</v>
      </c>
      <c r="W23" s="112" t="n">
        <f aca="false">'W Fees &amp; KPI'!T21</f>
        <v>0</v>
      </c>
      <c r="X23" s="112" t="n">
        <f aca="false">'W Fees &amp; KPI'!T22</f>
        <v>0</v>
      </c>
      <c r="Y23" s="112" t="n">
        <f aca="false">'W Fees &amp; KPI'!T23</f>
        <v>124825.027215217</v>
      </c>
      <c r="Z23" s="112" t="n">
        <f aca="false">'W Fees &amp; KPI'!T24</f>
        <v>0</v>
      </c>
      <c r="AA23" s="112" t="n">
        <f aca="false">'W Fees &amp; KPI'!T25</f>
        <v>0</v>
      </c>
      <c r="AB23" s="112" t="n">
        <f aca="false">'W Fees &amp; KPI'!T26</f>
        <v>142627.310504348</v>
      </c>
      <c r="AC23" s="112" t="n">
        <f aca="false">'W Fees &amp; KPI'!T27</f>
        <v>0</v>
      </c>
      <c r="AD23" s="112" t="n">
        <f aca="false">'W Fees &amp; KPI'!T28</f>
        <v>0</v>
      </c>
      <c r="AE23" s="112" t="n">
        <f aca="false">'W Fees &amp; KPI'!T29</f>
        <v>130836.607215217</v>
      </c>
      <c r="AF23" s="112" t="n">
        <f aca="false">'W Fees &amp; KPI'!T30</f>
        <v>0</v>
      </c>
      <c r="AG23" s="112" t="n">
        <f aca="false">'W Fees &amp; KPI'!T31</f>
        <v>0</v>
      </c>
      <c r="AH23" s="112" t="n">
        <f aca="false">'W Fees &amp; KPI'!T32</f>
        <v>121161.044456522</v>
      </c>
      <c r="AI23" s="112" t="n">
        <f aca="false">'W Fees &amp; KPI'!T33</f>
        <v>0</v>
      </c>
      <c r="AJ23" s="112" t="n">
        <f aca="false">'W Fees &amp; KPI'!T34</f>
        <v>0</v>
      </c>
      <c r="AK23" s="112" t="n">
        <f aca="false">'W Fees &amp; KPI'!T35</f>
        <v>183824.707196208</v>
      </c>
      <c r="AL23" s="112" t="n">
        <f aca="false">'W Fees &amp; KPI'!T36</f>
        <v>0</v>
      </c>
      <c r="AM23" s="112" t="n">
        <f aca="false">'W Fees &amp; KPI'!T37</f>
        <v>0</v>
      </c>
      <c r="AN23" s="112" t="n">
        <f aca="false">'W Fees &amp; KPI'!T38</f>
        <v>202797.973135037</v>
      </c>
      <c r="AO23" s="112" t="n">
        <f aca="false">'W Fees &amp; KPI'!T39</f>
        <v>0</v>
      </c>
      <c r="AP23" s="112" t="n">
        <f aca="false">'W Fees &amp; KPI'!T40</f>
        <v>0</v>
      </c>
      <c r="AQ23" s="112" t="n">
        <f aca="false">'W Fees &amp; KPI'!T41</f>
        <v>190393.541996208</v>
      </c>
    </row>
    <row r="24" customFormat="false" ht="21" hidden="false" customHeight="true" outlineLevel="0" collapsed="false">
      <c r="C24" s="74" t="s">
        <v>1148</v>
      </c>
      <c r="D24" s="109" t="n">
        <f aca="false">SUM(H24:S24)</f>
        <v>0</v>
      </c>
      <c r="E24" s="109" t="n">
        <f aca="false">SUM(T24:AE24)</f>
        <v>0</v>
      </c>
      <c r="F24" s="109" t="n">
        <f aca="false">SUM(AF24:AQ24)</f>
        <v>0</v>
      </c>
      <c r="G24" s="79"/>
      <c r="H24" s="112" t="n">
        <f aca="false">SUM('W Financial Model'!H17,'W Financial Model'!H24)</f>
        <v>0</v>
      </c>
      <c r="I24" s="112" t="n">
        <f aca="false">SUM('W Financial Model'!I17,'W Financial Model'!I24)</f>
        <v>0</v>
      </c>
      <c r="J24" s="112" t="n">
        <f aca="false">SUM('W Financial Model'!J17,'W Financial Model'!J24)</f>
        <v>0</v>
      </c>
      <c r="K24" s="112" t="n">
        <f aca="false">SUM('W Financial Model'!K17,'W Financial Model'!K24)</f>
        <v>0</v>
      </c>
      <c r="L24" s="112" t="n">
        <f aca="false">SUM('W Financial Model'!L17,'W Financial Model'!L24)</f>
        <v>0</v>
      </c>
      <c r="M24" s="112" t="n">
        <f aca="false">SUM('W Financial Model'!M17,'W Financial Model'!M24)</f>
        <v>0</v>
      </c>
      <c r="N24" s="112" t="n">
        <f aca="false">SUM('W Financial Model'!N17,'W Financial Model'!N24)</f>
        <v>0</v>
      </c>
      <c r="O24" s="112" t="n">
        <f aca="false">SUM('W Financial Model'!O17,'W Financial Model'!O24)</f>
        <v>0</v>
      </c>
      <c r="P24" s="112" t="n">
        <f aca="false">SUM('W Financial Model'!P17,'W Financial Model'!P24)</f>
        <v>0</v>
      </c>
      <c r="Q24" s="112" t="n">
        <f aca="false">SUM('W Financial Model'!Q17,'W Financial Model'!Q24)</f>
        <v>0</v>
      </c>
      <c r="R24" s="112" t="n">
        <f aca="false">SUM('W Financial Model'!R17,'W Financial Model'!R24)</f>
        <v>0</v>
      </c>
      <c r="S24" s="112" t="n">
        <f aca="false">SUM('W Financial Model'!S17,'W Financial Model'!S24)</f>
        <v>0</v>
      </c>
      <c r="T24" s="112" t="n">
        <f aca="false">SUM('W Financial Model'!T17,'W Financial Model'!T24)</f>
        <v>0</v>
      </c>
      <c r="U24" s="112" t="n">
        <f aca="false">SUM('W Financial Model'!U17,'W Financial Model'!U24)</f>
        <v>0</v>
      </c>
      <c r="V24" s="112" t="n">
        <f aca="false">SUM('W Financial Model'!V17,'W Financial Model'!V24)</f>
        <v>0</v>
      </c>
      <c r="W24" s="112" t="n">
        <f aca="false">SUM('W Financial Model'!W17,'W Financial Model'!W24)</f>
        <v>0</v>
      </c>
      <c r="X24" s="112" t="n">
        <f aca="false">SUM('W Financial Model'!X17,'W Financial Model'!X24)</f>
        <v>0</v>
      </c>
      <c r="Y24" s="112" t="n">
        <f aca="false">SUM('W Financial Model'!Y17,'W Financial Model'!Y24)</f>
        <v>0</v>
      </c>
      <c r="Z24" s="112" t="n">
        <f aca="false">SUM('W Financial Model'!Z17,'W Financial Model'!Z24)</f>
        <v>0</v>
      </c>
      <c r="AA24" s="112" t="n">
        <f aca="false">SUM('W Financial Model'!AA17,'W Financial Model'!AA24)</f>
        <v>0</v>
      </c>
      <c r="AB24" s="112" t="n">
        <f aca="false">SUM('W Financial Model'!AB17,'W Financial Model'!AB24)</f>
        <v>0</v>
      </c>
      <c r="AC24" s="112" t="n">
        <f aca="false">SUM('W Financial Model'!AC17,'W Financial Model'!AC24)</f>
        <v>0</v>
      </c>
      <c r="AD24" s="112" t="n">
        <f aca="false">SUM('W Financial Model'!AD17,'W Financial Model'!AD24)</f>
        <v>0</v>
      </c>
      <c r="AE24" s="112" t="n">
        <f aca="false">SUM('W Financial Model'!AE17,'W Financial Model'!AE24)</f>
        <v>0</v>
      </c>
      <c r="AF24" s="112" t="n">
        <f aca="false">SUM('W Financial Model'!AF17,'W Financial Model'!AF24)</f>
        <v>0</v>
      </c>
      <c r="AG24" s="112" t="n">
        <f aca="false">SUM('W Financial Model'!AG17,'W Financial Model'!AG24)</f>
        <v>0</v>
      </c>
      <c r="AH24" s="112" t="n">
        <f aca="false">SUM('W Financial Model'!AH17,'W Financial Model'!AH24)</f>
        <v>0</v>
      </c>
      <c r="AI24" s="112" t="n">
        <f aca="false">SUM('W Financial Model'!AI17,'W Financial Model'!AI24)</f>
        <v>0</v>
      </c>
      <c r="AJ24" s="112" t="n">
        <f aca="false">SUM('W Financial Model'!AJ17,'W Financial Model'!AJ24)</f>
        <v>0</v>
      </c>
      <c r="AK24" s="112" t="n">
        <f aca="false">SUM('W Financial Model'!AK17,'W Financial Model'!AK24)</f>
        <v>0</v>
      </c>
      <c r="AL24" s="112" t="n">
        <f aca="false">SUM('W Financial Model'!AL17,'W Financial Model'!AL24)</f>
        <v>0</v>
      </c>
      <c r="AM24" s="112" t="n">
        <f aca="false">SUM('W Financial Model'!AM17,'W Financial Model'!AM24)</f>
        <v>0</v>
      </c>
      <c r="AN24" s="112" t="n">
        <f aca="false">SUM('W Financial Model'!AN17,'W Financial Model'!AN24)</f>
        <v>0</v>
      </c>
      <c r="AO24" s="112" t="n">
        <f aca="false">SUM('W Financial Model'!AO17,'W Financial Model'!AO24)</f>
        <v>0</v>
      </c>
      <c r="AP24" s="112" t="n">
        <f aca="false">SUM('W Financial Model'!AP17,'W Financial Model'!AP24)</f>
        <v>0</v>
      </c>
      <c r="AQ24" s="112" t="n">
        <f aca="false">SUM('W Financial Model'!AQ17,'W Financial Model'!AQ24)</f>
        <v>0</v>
      </c>
    </row>
    <row r="25" customFormat="false" ht="21" hidden="false" customHeight="true" outlineLevel="0" collapsed="false">
      <c r="C25" s="86" t="s">
        <v>1149</v>
      </c>
      <c r="D25" s="94" t="n">
        <f aca="false">SUM(H25:S25)</f>
        <v>9928723.32749164</v>
      </c>
      <c r="E25" s="94" t="n">
        <f aca="false">SUM(T25:AE25)</f>
        <v>14747978.6426446</v>
      </c>
      <c r="F25" s="94" t="n">
        <f aca="false">SUM(AF25:AQ25)</f>
        <v>18467267.5829821</v>
      </c>
      <c r="G25" s="110"/>
      <c r="H25" s="94" t="n">
        <f aca="false">SUM(H12:H24)</f>
        <v>168013.333333333</v>
      </c>
      <c r="I25" s="94" t="n">
        <f aca="false">SUM(I12:I24)</f>
        <v>484175.284600281</v>
      </c>
      <c r="J25" s="94" t="n">
        <f aca="false">SUM(J12:J24)</f>
        <v>502307.153398784</v>
      </c>
      <c r="K25" s="94" t="n">
        <f aca="false">SUM(K12:K24)</f>
        <v>705220.347826087</v>
      </c>
      <c r="L25" s="94" t="n">
        <f aca="false">SUM(L12:L24)</f>
        <v>900196.35826087</v>
      </c>
      <c r="M25" s="94" t="n">
        <f aca="false">SUM(M12:M24)</f>
        <v>868355.806399519</v>
      </c>
      <c r="N25" s="94" t="n">
        <f aca="false">SUM(N12:N24)</f>
        <v>1059392.38757764</v>
      </c>
      <c r="O25" s="94" t="n">
        <f aca="false">SUM(O12:O24)</f>
        <v>1067197.72173913</v>
      </c>
      <c r="P25" s="94" t="n">
        <f aca="false">SUM(P12:P24)</f>
        <v>1033557.54259399</v>
      </c>
      <c r="Q25" s="94" t="n">
        <f aca="false">SUM(Q12:Q24)</f>
        <v>1046107.6173913</v>
      </c>
      <c r="R25" s="94" t="n">
        <f aca="false">SUM(R12:R24)</f>
        <v>1044988</v>
      </c>
      <c r="S25" s="94" t="n">
        <f aca="false">SUM(S12:S24)</f>
        <v>1049211.77437071</v>
      </c>
      <c r="T25" s="94" t="n">
        <f aca="false">SUM(T12:T24)</f>
        <v>1127152.12573913</v>
      </c>
      <c r="U25" s="94" t="n">
        <f aca="false">SUM(U12:U24)</f>
        <v>1162886.18737391</v>
      </c>
      <c r="V25" s="94" t="n">
        <f aca="false">SUM(V12:V24)</f>
        <v>1251548.90509245</v>
      </c>
      <c r="W25" s="94" t="n">
        <f aca="false">SUM(W12:W24)</f>
        <v>1172931.36537391</v>
      </c>
      <c r="X25" s="94" t="n">
        <f aca="false">SUM(X12:X24)</f>
        <v>1165027.23225217</v>
      </c>
      <c r="Y25" s="94" t="n">
        <f aca="false">SUM(Y12:Y24)</f>
        <v>1284115.9888413</v>
      </c>
      <c r="Z25" s="94" t="n">
        <f aca="false">SUM(Z12:Z24)</f>
        <v>1264019.09474783</v>
      </c>
      <c r="AA25" s="94" t="n">
        <f aca="false">SUM(AA12:AA24)</f>
        <v>1262593.55062609</v>
      </c>
      <c r="AB25" s="94" t="n">
        <f aca="false">SUM(AB12:AB24)</f>
        <v>1303374.27213043</v>
      </c>
      <c r="AC25" s="94" t="n">
        <f aca="false">SUM(AC12:AC24)</f>
        <v>1238165.65050435</v>
      </c>
      <c r="AD25" s="94" t="n">
        <f aca="false">SUM(AD12:AD24)</f>
        <v>1236766.924</v>
      </c>
      <c r="AE25" s="94" t="n">
        <f aca="false">SUM(AE12:AE24)</f>
        <v>1279397.34596304</v>
      </c>
      <c r="AF25" s="94" t="n">
        <f aca="false">SUM(AF12:AF24)</f>
        <v>1399305.79152438</v>
      </c>
      <c r="AG25" s="94" t="n">
        <f aca="false">SUM(AG12:AG24)</f>
        <v>1455643.40363474</v>
      </c>
      <c r="AH25" s="94" t="n">
        <f aca="false">SUM(AH12:AH24)</f>
        <v>1582391.57609486</v>
      </c>
      <c r="AI25" s="94" t="n">
        <f aca="false">SUM(AI12:AI24)</f>
        <v>1466817.65964194</v>
      </c>
      <c r="AJ25" s="94" t="n">
        <f aca="false">SUM(AJ12:AJ24)</f>
        <v>1458025.10195732</v>
      </c>
      <c r="AK25" s="94" t="n">
        <f aca="false">SUM(AK12:AK24)</f>
        <v>1635468.78170907</v>
      </c>
      <c r="AL25" s="94" t="n">
        <f aca="false">SUM(AL12:AL24)</f>
        <v>1561133.59219748</v>
      </c>
      <c r="AM25" s="94" t="n">
        <f aca="false">SUM(AM12:AM24)</f>
        <v>1559442.40251646</v>
      </c>
      <c r="AN25" s="94" t="n">
        <f aca="false">SUM(AN12:AN24)</f>
        <v>1655956.2876479</v>
      </c>
      <c r="AO25" s="94" t="n">
        <f aca="false">SUM(AO12:AO24)</f>
        <v>1532374.22082104</v>
      </c>
      <c r="AP25" s="94" t="n">
        <f aca="false">SUM(AP12:AP24)</f>
        <v>1530712.8630576</v>
      </c>
      <c r="AQ25" s="94" t="n">
        <f aca="false">SUM(AQ12:AQ24)</f>
        <v>1629995.90217929</v>
      </c>
    </row>
    <row r="26" customFormat="false" ht="21" hidden="false" customHeight="true" outlineLevel="0" collapsed="false">
      <c r="C26" s="86" t="s">
        <v>1150</v>
      </c>
      <c r="D26" s="94" t="n">
        <f aca="false">SUM(H26:S26)</f>
        <v>4449404.42187218</v>
      </c>
      <c r="E26" s="94" t="n">
        <f aca="false">SUM(T26:AE26)</f>
        <v>9959377.62385484</v>
      </c>
      <c r="F26" s="94" t="n">
        <f aca="false">SUM(AF26:AQ26)</f>
        <v>15405611.2754872</v>
      </c>
      <c r="G26" s="110"/>
      <c r="H26" s="94" t="n">
        <f aca="false">H10-H25</f>
        <v>-20420.9777777777</v>
      </c>
      <c r="I26" s="94" t="n">
        <f aca="false">I10-I25</f>
        <v>5895.30266414041</v>
      </c>
      <c r="J26" s="94" t="n">
        <f aca="false">J10-J25</f>
        <v>59448.8352176375</v>
      </c>
      <c r="K26" s="94" t="n">
        <f aca="false">K10-K25</f>
        <v>447181.043905416</v>
      </c>
      <c r="L26" s="94" t="n">
        <f aca="false">L10-L25</f>
        <v>332858.734706331</v>
      </c>
      <c r="M26" s="94" t="n">
        <f aca="false">M10-M25</f>
        <v>319257.8753091</v>
      </c>
      <c r="N26" s="94" t="n">
        <f aca="false">N10-N25</f>
        <v>658990.833431405</v>
      </c>
      <c r="O26" s="94" t="n">
        <f aca="false">O10-O25</f>
        <v>658894.823493516</v>
      </c>
      <c r="P26" s="94" t="n">
        <f aca="false">P10-P25</f>
        <v>410118.350464749</v>
      </c>
      <c r="Q26" s="94" t="n">
        <f aca="false">Q10-Q25</f>
        <v>482684.501754386</v>
      </c>
      <c r="R26" s="94" t="n">
        <f aca="false">R10-R25</f>
        <v>583286.388710908</v>
      </c>
      <c r="S26" s="94" t="n">
        <f aca="false">S10-S25</f>
        <v>511208.709992372</v>
      </c>
      <c r="T26" s="94" t="n">
        <f aca="false">T10-T25</f>
        <v>613957.489342487</v>
      </c>
      <c r="U26" s="94" t="n">
        <f aca="false">U10-U25</f>
        <v>777060.668351183</v>
      </c>
      <c r="V26" s="94" t="n">
        <f aca="false">V10-V25</f>
        <v>802572.177695958</v>
      </c>
      <c r="W26" s="94" t="n">
        <f aca="false">W10-W25</f>
        <v>1233810.1961971</v>
      </c>
      <c r="X26" s="94" t="n">
        <f aca="false">X10-X25</f>
        <v>955182.93904058</v>
      </c>
      <c r="Y26" s="94" t="n">
        <f aca="false">Y10-Y25</f>
        <v>631480.222573188</v>
      </c>
      <c r="Z26" s="94" t="n">
        <f aca="false">Z10-Z25</f>
        <v>993019.050944927</v>
      </c>
      <c r="AA26" s="94" t="n">
        <f aca="false">AA10-AA25</f>
        <v>958104.399571015</v>
      </c>
      <c r="AB26" s="94" t="n">
        <f aca="false">AB10-AB25</f>
        <v>614333.883284058</v>
      </c>
      <c r="AC26" s="94" t="n">
        <f aca="false">AC10-AC25</f>
        <v>758525.765066667</v>
      </c>
      <c r="AD26" s="94" t="n">
        <f aca="false">AD10-AD25</f>
        <v>865147.475188406</v>
      </c>
      <c r="AE26" s="94" t="n">
        <f aca="false">AE10-AE25</f>
        <v>756183.356599276</v>
      </c>
      <c r="AF26" s="94" t="n">
        <f aca="false">AF10-AF25</f>
        <v>989572.729222099</v>
      </c>
      <c r="AG26" s="94" t="n">
        <f aca="false">AG10-AG25</f>
        <v>1146137.36610664</v>
      </c>
      <c r="AH26" s="94" t="n">
        <f aca="false">AH10-AH25</f>
        <v>1259222.83069336</v>
      </c>
      <c r="AI26" s="94" t="n">
        <f aca="false">AI10-AI25</f>
        <v>1750894.55136646</v>
      </c>
      <c r="AJ26" s="94" t="n">
        <f aca="false">AJ10-AJ25</f>
        <v>1451462.84773754</v>
      </c>
      <c r="AK26" s="94" t="n">
        <f aca="false">AK10-AK25</f>
        <v>1054761.87187001</v>
      </c>
      <c r="AL26" s="94" t="n">
        <f aca="false">AL10-AL25</f>
        <v>1495526.49933514</v>
      </c>
      <c r="AM26" s="94" t="n">
        <f aca="false">AM10-AM25</f>
        <v>1456516.1908828</v>
      </c>
      <c r="AN26" s="94" t="n">
        <f aca="false">AN10-AN25</f>
        <v>1036513.02657119</v>
      </c>
      <c r="AO26" s="94" t="n">
        <f aca="false">AO10-AO25</f>
        <v>1234676.16812416</v>
      </c>
      <c r="AP26" s="94" t="n">
        <f aca="false">AP10-AP25</f>
        <v>1347688.28078518</v>
      </c>
      <c r="AQ26" s="94" t="n">
        <f aca="false">AQ10-AQ25</f>
        <v>1182638.91279263</v>
      </c>
    </row>
    <row r="27" customFormat="false" ht="21" hidden="false" customHeight="true" outlineLevel="0" collapsed="false">
      <c r="C27" s="74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</row>
    <row r="28" customFormat="false" ht="21" hidden="false" customHeight="true" outlineLevel="0" collapsed="false">
      <c r="C28" s="74" t="s">
        <v>1151</v>
      </c>
      <c r="D28" s="109" t="n">
        <f aca="false">SUM(H28:S28)</f>
        <v>4080000</v>
      </c>
      <c r="E28" s="109" t="n">
        <f aca="false">SUM(T28:AE28)</f>
        <v>81600</v>
      </c>
      <c r="F28" s="109" t="n">
        <f aca="false">SUM(AF28:AQ28)</f>
        <v>122400</v>
      </c>
      <c r="G28" s="79"/>
      <c r="H28" s="81" t="n">
        <f aca="false">'W Financial Model'!H38</f>
        <v>488000</v>
      </c>
      <c r="I28" s="81" t="n">
        <f aca="false">'W Financial Model'!I38</f>
        <v>392000</v>
      </c>
      <c r="J28" s="81" t="n">
        <f aca="false">'W Financial Model'!J38</f>
        <v>650000</v>
      </c>
      <c r="K28" s="81" t="n">
        <f aca="false">'W Financial Model'!K38</f>
        <v>930000</v>
      </c>
      <c r="L28" s="81" t="n">
        <f aca="false">'W Financial Model'!L38</f>
        <v>1140000</v>
      </c>
      <c r="M28" s="81" t="n">
        <f aca="false">'W Financial Model'!M38</f>
        <v>480000</v>
      </c>
      <c r="N28" s="81" t="n">
        <f aca="false">'W Financial Model'!N38</f>
        <v>0</v>
      </c>
      <c r="O28" s="81" t="n">
        <f aca="false">'W Financial Model'!O38</f>
        <v>0</v>
      </c>
      <c r="P28" s="81" t="n">
        <f aca="false">'W Financial Model'!P38</f>
        <v>0</v>
      </c>
      <c r="Q28" s="81" t="n">
        <f aca="false">'W Financial Model'!Q38</f>
        <v>0</v>
      </c>
      <c r="R28" s="81" t="n">
        <f aca="false">'W Financial Model'!R38</f>
        <v>0</v>
      </c>
      <c r="S28" s="81" t="n">
        <f aca="false">'W Financial Model'!S38</f>
        <v>0</v>
      </c>
      <c r="T28" s="81" t="n">
        <f aca="false">'W Financial Model'!T38</f>
        <v>81600</v>
      </c>
      <c r="U28" s="81" t="n">
        <f aca="false">'W Financial Model'!U38</f>
        <v>0</v>
      </c>
      <c r="V28" s="81" t="n">
        <f aca="false">'W Financial Model'!V38</f>
        <v>0</v>
      </c>
      <c r="W28" s="81" t="n">
        <f aca="false">'W Financial Model'!W38</f>
        <v>0</v>
      </c>
      <c r="X28" s="81" t="n">
        <f aca="false">'W Financial Model'!X38</f>
        <v>0</v>
      </c>
      <c r="Y28" s="81" t="n">
        <f aca="false">'W Financial Model'!Y38</f>
        <v>0</v>
      </c>
      <c r="Z28" s="81" t="n">
        <f aca="false">'W Financial Model'!Z38</f>
        <v>0</v>
      </c>
      <c r="AA28" s="81" t="n">
        <f aca="false">'W Financial Model'!AA38</f>
        <v>0</v>
      </c>
      <c r="AB28" s="81" t="n">
        <f aca="false">'W Financial Model'!AB38</f>
        <v>0</v>
      </c>
      <c r="AC28" s="81" t="n">
        <f aca="false">'W Financial Model'!AC38</f>
        <v>0</v>
      </c>
      <c r="AD28" s="81" t="n">
        <f aca="false">'W Financial Model'!AD38</f>
        <v>0</v>
      </c>
      <c r="AE28" s="81" t="n">
        <f aca="false">'W Financial Model'!AE38</f>
        <v>0</v>
      </c>
      <c r="AF28" s="81" t="n">
        <f aca="false">'W Financial Model'!AF38</f>
        <v>122400</v>
      </c>
      <c r="AG28" s="81" t="n">
        <f aca="false">'W Financial Model'!AG38</f>
        <v>0</v>
      </c>
      <c r="AH28" s="81" t="n">
        <f aca="false">'W Financial Model'!AH38</f>
        <v>0</v>
      </c>
      <c r="AI28" s="81" t="n">
        <f aca="false">'W Financial Model'!AI38</f>
        <v>0</v>
      </c>
      <c r="AJ28" s="81" t="n">
        <f aca="false">'W Financial Model'!AJ38</f>
        <v>0</v>
      </c>
      <c r="AK28" s="81" t="n">
        <f aca="false">'W Financial Model'!AK38</f>
        <v>0</v>
      </c>
      <c r="AL28" s="81" t="n">
        <f aca="false">'W Financial Model'!AL38</f>
        <v>0</v>
      </c>
      <c r="AM28" s="81" t="n">
        <f aca="false">'W Financial Model'!AM38</f>
        <v>0</v>
      </c>
      <c r="AN28" s="81" t="n">
        <f aca="false">'W Financial Model'!AN38</f>
        <v>0</v>
      </c>
      <c r="AO28" s="81" t="n">
        <f aca="false">'W Financial Model'!AO38</f>
        <v>0</v>
      </c>
      <c r="AP28" s="81" t="n">
        <f aca="false">'W Financial Model'!AP38</f>
        <v>0</v>
      </c>
      <c r="AQ28" s="81" t="n">
        <f aca="false">'W Financial Model'!AQ38</f>
        <v>0</v>
      </c>
    </row>
    <row r="29" customFormat="false" ht="21" hidden="false" customHeight="true" outlineLevel="0" collapsed="false">
      <c r="C29" s="74" t="s">
        <v>1152</v>
      </c>
      <c r="D29" s="109" t="n">
        <f aca="false">SUM(H29:S29)</f>
        <v>230000</v>
      </c>
      <c r="E29" s="109" t="n">
        <f aca="false">SUM(T29:AE29)</f>
        <v>0</v>
      </c>
      <c r="F29" s="109" t="n">
        <f aca="false">SUM(AF29:AQ29)</f>
        <v>0</v>
      </c>
      <c r="G29" s="79"/>
      <c r="H29" s="81" t="n">
        <f aca="false">'W Financial Model'!H39</f>
        <v>40000</v>
      </c>
      <c r="I29" s="81" t="n">
        <f aca="false">'W Financial Model'!I39</f>
        <v>44000</v>
      </c>
      <c r="J29" s="81" t="n">
        <f aca="false">'W Financial Model'!J39</f>
        <v>60000</v>
      </c>
      <c r="K29" s="81" t="n">
        <f aca="false">'W Financial Model'!K39</f>
        <v>86000</v>
      </c>
      <c r="L29" s="81" t="n">
        <f aca="false">'W Financial Model'!L39</f>
        <v>0</v>
      </c>
      <c r="M29" s="81" t="n">
        <f aca="false">'W Financial Model'!M39</f>
        <v>0</v>
      </c>
      <c r="N29" s="81" t="n">
        <f aca="false">'W Financial Model'!N39</f>
        <v>0</v>
      </c>
      <c r="O29" s="81" t="n">
        <f aca="false">'W Financial Model'!O39</f>
        <v>0</v>
      </c>
      <c r="P29" s="81" t="n">
        <f aca="false">'W Financial Model'!P39</f>
        <v>0</v>
      </c>
      <c r="Q29" s="81" t="n">
        <f aca="false">'W Financial Model'!Q39</f>
        <v>0</v>
      </c>
      <c r="R29" s="81" t="n">
        <f aca="false">'W Financial Model'!R39</f>
        <v>0</v>
      </c>
      <c r="S29" s="81" t="n">
        <f aca="false">'W Financial Model'!S39</f>
        <v>0</v>
      </c>
      <c r="T29" s="81" t="n">
        <f aca="false">'W Financial Model'!T39</f>
        <v>0</v>
      </c>
      <c r="U29" s="81" t="n">
        <f aca="false">'W Financial Model'!U39</f>
        <v>0</v>
      </c>
      <c r="V29" s="81" t="n">
        <f aca="false">'W Financial Model'!V39</f>
        <v>0</v>
      </c>
      <c r="W29" s="81" t="n">
        <f aca="false">'W Financial Model'!W39</f>
        <v>0</v>
      </c>
      <c r="X29" s="81" t="n">
        <f aca="false">'W Financial Model'!X39</f>
        <v>0</v>
      </c>
      <c r="Y29" s="81" t="n">
        <f aca="false">'W Financial Model'!Y39</f>
        <v>0</v>
      </c>
      <c r="Z29" s="81" t="n">
        <f aca="false">'W Financial Model'!Z39</f>
        <v>0</v>
      </c>
      <c r="AA29" s="81" t="n">
        <f aca="false">'W Financial Model'!AA39</f>
        <v>0</v>
      </c>
      <c r="AB29" s="81" t="n">
        <f aca="false">'W Financial Model'!AB39</f>
        <v>0</v>
      </c>
      <c r="AC29" s="81" t="n">
        <f aca="false">'W Financial Model'!AC39</f>
        <v>0</v>
      </c>
      <c r="AD29" s="81" t="n">
        <f aca="false">'W Financial Model'!AD39</f>
        <v>0</v>
      </c>
      <c r="AE29" s="81" t="n">
        <f aca="false">'W Financial Model'!AE39</f>
        <v>0</v>
      </c>
      <c r="AF29" s="81" t="n">
        <f aca="false">'W Financial Model'!AF39</f>
        <v>0</v>
      </c>
      <c r="AG29" s="81" t="n">
        <f aca="false">'W Financial Model'!AG39</f>
        <v>0</v>
      </c>
      <c r="AH29" s="81" t="n">
        <f aca="false">'W Financial Model'!AH39</f>
        <v>0</v>
      </c>
      <c r="AI29" s="81" t="n">
        <f aca="false">'W Financial Model'!AI39</f>
        <v>0</v>
      </c>
      <c r="AJ29" s="81" t="n">
        <f aca="false">'W Financial Model'!AJ39</f>
        <v>0</v>
      </c>
      <c r="AK29" s="81" t="n">
        <f aca="false">'W Financial Model'!AK39</f>
        <v>0</v>
      </c>
      <c r="AL29" s="81" t="n">
        <f aca="false">'W Financial Model'!AL39</f>
        <v>0</v>
      </c>
      <c r="AM29" s="81" t="n">
        <f aca="false">'W Financial Model'!AM39</f>
        <v>0</v>
      </c>
      <c r="AN29" s="81" t="n">
        <f aca="false">'W Financial Model'!AN39</f>
        <v>0</v>
      </c>
      <c r="AO29" s="81" t="n">
        <f aca="false">'W Financial Model'!AO39</f>
        <v>0</v>
      </c>
      <c r="AP29" s="81" t="n">
        <f aca="false">'W Financial Model'!AP39</f>
        <v>0</v>
      </c>
      <c r="AQ29" s="81" t="n">
        <f aca="false">'W Financial Model'!AQ39</f>
        <v>0</v>
      </c>
    </row>
    <row r="30" customFormat="false" ht="21" hidden="false" customHeight="true" outlineLevel="0" collapsed="false">
      <c r="C30" s="86" t="s">
        <v>1153</v>
      </c>
      <c r="D30" s="94" t="n">
        <f aca="false">SUM(H30:S30)</f>
        <v>139404.421872183</v>
      </c>
      <c r="E30" s="94" t="n">
        <f aca="false">SUM(T30:AE30)</f>
        <v>9877777.62385484</v>
      </c>
      <c r="F30" s="94" t="n">
        <f aca="false">SUM(AF30:AQ30)</f>
        <v>15283211.2754872</v>
      </c>
      <c r="G30" s="110"/>
      <c r="H30" s="94" t="n">
        <f aca="false">H26-H28-H29</f>
        <v>-548420.977777778</v>
      </c>
      <c r="I30" s="94" t="n">
        <f aca="false">I26-I28-I29</f>
        <v>-430104.69733586</v>
      </c>
      <c r="J30" s="94" t="n">
        <f aca="false">J26-J28-J29</f>
        <v>-650551.164782363</v>
      </c>
      <c r="K30" s="94" t="n">
        <f aca="false">K26-K28-K29</f>
        <v>-568818.956094584</v>
      </c>
      <c r="L30" s="94" t="n">
        <f aca="false">L26-L28-L29</f>
        <v>-807141.265293669</v>
      </c>
      <c r="M30" s="94" t="n">
        <f aca="false">M26-M28-M29</f>
        <v>-160742.1246909</v>
      </c>
      <c r="N30" s="94" t="n">
        <f aca="false">N26-N28-N29</f>
        <v>658990.833431405</v>
      </c>
      <c r="O30" s="94" t="n">
        <f aca="false">O26-O28-O29</f>
        <v>658894.823493516</v>
      </c>
      <c r="P30" s="94" t="n">
        <f aca="false">P26-P28-P29</f>
        <v>410118.350464749</v>
      </c>
      <c r="Q30" s="94" t="n">
        <f aca="false">Q26-Q28-Q29</f>
        <v>482684.501754386</v>
      </c>
      <c r="R30" s="94" t="n">
        <f aca="false">R26-R28-R29</f>
        <v>583286.388710908</v>
      </c>
      <c r="S30" s="94" t="n">
        <f aca="false">S26-S28-S29</f>
        <v>511208.709992372</v>
      </c>
      <c r="T30" s="94" t="n">
        <f aca="false">T26-T28-T29</f>
        <v>532357.489342487</v>
      </c>
      <c r="U30" s="94" t="n">
        <f aca="false">U26-U28-U29</f>
        <v>777060.668351183</v>
      </c>
      <c r="V30" s="94" t="n">
        <f aca="false">V26-V28-V29</f>
        <v>802572.177695958</v>
      </c>
      <c r="W30" s="94" t="n">
        <f aca="false">W26-W28-W29</f>
        <v>1233810.1961971</v>
      </c>
      <c r="X30" s="94" t="n">
        <f aca="false">X26-X28-X29</f>
        <v>955182.93904058</v>
      </c>
      <c r="Y30" s="94" t="n">
        <f aca="false">Y26-Y28-Y29</f>
        <v>631480.222573188</v>
      </c>
      <c r="Z30" s="94" t="n">
        <f aca="false">Z26-Z28-Z29</f>
        <v>993019.050944927</v>
      </c>
      <c r="AA30" s="94" t="n">
        <f aca="false">AA26-AA28-AA29</f>
        <v>958104.399571015</v>
      </c>
      <c r="AB30" s="94" t="n">
        <f aca="false">AB26-AB28-AB29</f>
        <v>614333.883284058</v>
      </c>
      <c r="AC30" s="94" t="n">
        <f aca="false">AC26-AC28-AC29</f>
        <v>758525.765066667</v>
      </c>
      <c r="AD30" s="94" t="n">
        <f aca="false">AD26-AD28-AD29</f>
        <v>865147.475188406</v>
      </c>
      <c r="AE30" s="94" t="n">
        <f aca="false">AE26-AE28-AE29</f>
        <v>756183.356599276</v>
      </c>
      <c r="AF30" s="94" t="n">
        <f aca="false">AF26-AF28-AF29</f>
        <v>867172.729222099</v>
      </c>
      <c r="AG30" s="94" t="n">
        <f aca="false">AG26-AG28-AG29</f>
        <v>1146137.36610664</v>
      </c>
      <c r="AH30" s="94" t="n">
        <f aca="false">AH26-AH28-AH29</f>
        <v>1259222.83069336</v>
      </c>
      <c r="AI30" s="94" t="n">
        <f aca="false">AI26-AI28-AI29</f>
        <v>1750894.55136646</v>
      </c>
      <c r="AJ30" s="94" t="n">
        <f aca="false">AJ26-AJ28-AJ29</f>
        <v>1451462.84773754</v>
      </c>
      <c r="AK30" s="94" t="n">
        <f aca="false">AK26-AK28-AK29</f>
        <v>1054761.87187001</v>
      </c>
      <c r="AL30" s="94" t="n">
        <f aca="false">AL26-AL28-AL29</f>
        <v>1495526.49933514</v>
      </c>
      <c r="AM30" s="94" t="n">
        <f aca="false">AM26-AM28-AM29</f>
        <v>1456516.1908828</v>
      </c>
      <c r="AN30" s="94" t="n">
        <f aca="false">AN26-AN28-AN29</f>
        <v>1036513.02657119</v>
      </c>
      <c r="AO30" s="94" t="n">
        <f aca="false">AO26-AO28-AO29</f>
        <v>1234676.16812416</v>
      </c>
      <c r="AP30" s="94" t="n">
        <f aca="false">AP26-AP28-AP29</f>
        <v>1347688.28078518</v>
      </c>
      <c r="AQ30" s="94" t="n">
        <f aca="false">AQ26-AQ28-AQ29</f>
        <v>1182638.91279263</v>
      </c>
    </row>
    <row r="31" customFormat="false" ht="21" hidden="false" customHeight="true" outlineLevel="0" collapsed="false">
      <c r="C31" s="86" t="s">
        <v>1154</v>
      </c>
      <c r="D31" s="94" t="n">
        <f aca="false">S31</f>
        <v>139404.421872183</v>
      </c>
      <c r="E31" s="94" t="n">
        <f aca="false">AE31</f>
        <v>10017182.045727</v>
      </c>
      <c r="F31" s="94" t="n">
        <f aca="false">AQ31</f>
        <v>25300393.3212142</v>
      </c>
      <c r="G31" s="110"/>
      <c r="H31" s="94" t="n">
        <f aca="false">H30</f>
        <v>-548420.977777778</v>
      </c>
      <c r="I31" s="94" t="n">
        <f aca="false">H31+I30</f>
        <v>-978525.675113637</v>
      </c>
      <c r="J31" s="94" t="n">
        <f aca="false">I31+J30</f>
        <v>-1629076.839896</v>
      </c>
      <c r="K31" s="94" t="n">
        <f aca="false">J31+K30</f>
        <v>-2197895.79599058</v>
      </c>
      <c r="L31" s="94" t="n">
        <f aca="false">K31+L30</f>
        <v>-3005037.06128425</v>
      </c>
      <c r="M31" s="94" t="n">
        <f aca="false">L31+M30</f>
        <v>-3165779.18597515</v>
      </c>
      <c r="N31" s="94" t="n">
        <f aca="false">M31+N30</f>
        <v>-2506788.35254375</v>
      </c>
      <c r="O31" s="94" t="n">
        <f aca="false">N31+O30</f>
        <v>-1847893.52905023</v>
      </c>
      <c r="P31" s="94" t="n">
        <f aca="false">O31+P30</f>
        <v>-1437775.17858548</v>
      </c>
      <c r="Q31" s="94" t="n">
        <f aca="false">P31+Q30</f>
        <v>-955090.676831097</v>
      </c>
      <c r="R31" s="94" t="n">
        <f aca="false">Q31+R30</f>
        <v>-371804.288120189</v>
      </c>
      <c r="S31" s="94" t="n">
        <f aca="false">R31+S30</f>
        <v>139404.421872183</v>
      </c>
      <c r="T31" s="94" t="n">
        <f aca="false">S31+T30</f>
        <v>671761.91121467</v>
      </c>
      <c r="U31" s="94" t="n">
        <f aca="false">T31+U30</f>
        <v>1448822.57956585</v>
      </c>
      <c r="V31" s="94" t="n">
        <f aca="false">U31+V30</f>
        <v>2251394.75726181</v>
      </c>
      <c r="W31" s="94" t="n">
        <f aca="false">V31+W30</f>
        <v>3485204.95345891</v>
      </c>
      <c r="X31" s="94" t="n">
        <f aca="false">W31+X30</f>
        <v>4440387.89249949</v>
      </c>
      <c r="Y31" s="94" t="n">
        <f aca="false">X31+Y30</f>
        <v>5071868.11507268</v>
      </c>
      <c r="Z31" s="94" t="n">
        <f aca="false">Y31+Z30</f>
        <v>6064887.16601761</v>
      </c>
      <c r="AA31" s="94" t="n">
        <f aca="false">Z31+AA30</f>
        <v>7022991.56558862</v>
      </c>
      <c r="AB31" s="94" t="n">
        <f aca="false">AA31+AB30</f>
        <v>7637325.44887268</v>
      </c>
      <c r="AC31" s="94" t="n">
        <f aca="false">AB31+AC30</f>
        <v>8395851.21393935</v>
      </c>
      <c r="AD31" s="94" t="n">
        <f aca="false">AC31+AD30</f>
        <v>9260998.68912775</v>
      </c>
      <c r="AE31" s="94" t="n">
        <f aca="false">AD31+AE30</f>
        <v>10017182.045727</v>
      </c>
      <c r="AF31" s="94" t="n">
        <f aca="false">AE31+AF30</f>
        <v>10884354.7749491</v>
      </c>
      <c r="AG31" s="94" t="n">
        <f aca="false">AF31+AG30</f>
        <v>12030492.1410558</v>
      </c>
      <c r="AH31" s="94" t="n">
        <f aca="false">AG31+AH30</f>
        <v>13289714.9717491</v>
      </c>
      <c r="AI31" s="94" t="n">
        <f aca="false">AH31+AI30</f>
        <v>15040609.5231156</v>
      </c>
      <c r="AJ31" s="94" t="n">
        <f aca="false">AI31+AJ30</f>
        <v>16492072.3708531</v>
      </c>
      <c r="AK31" s="94" t="n">
        <f aca="false">AJ31+AK30</f>
        <v>17546834.2427231</v>
      </c>
      <c r="AL31" s="94" t="n">
        <f aca="false">AK31+AL30</f>
        <v>19042360.7420583</v>
      </c>
      <c r="AM31" s="94" t="n">
        <f aca="false">AL31+AM30</f>
        <v>20498876.9329411</v>
      </c>
      <c r="AN31" s="94" t="n">
        <f aca="false">AM31+AN30</f>
        <v>21535389.9595123</v>
      </c>
      <c r="AO31" s="94" t="n">
        <f aca="false">AN31+AO30</f>
        <v>22770066.1276364</v>
      </c>
      <c r="AP31" s="94" t="n">
        <f aca="false">AO31+AP30</f>
        <v>24117754.4084216</v>
      </c>
      <c r="AQ31" s="94" t="n">
        <f aca="false">AP31+AQ30</f>
        <v>25300393.3212142</v>
      </c>
    </row>
    <row r="32" customFormat="false" ht="21" hidden="false" customHeight="true" outlineLevel="0" collapsed="false">
      <c r="C32" s="74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</row>
    <row r="33" customFormat="false" ht="21" hidden="false" customHeight="true" outlineLevel="0" collapsed="false">
      <c r="C33" s="86" t="s">
        <v>826</v>
      </c>
      <c r="D33" s="94" t="n">
        <f aca="false">S33</f>
        <v>300657.795728452</v>
      </c>
      <c r="E33" s="94" t="n">
        <f aca="false">AE33</f>
        <v>643758.677055073</v>
      </c>
      <c r="F33" s="94" t="n">
        <f aca="false">AQ33</f>
        <v>1240191.60582753</v>
      </c>
      <c r="G33" s="110"/>
      <c r="H33" s="140" t="n">
        <f aca="false">'W Financial Model'!H10-H10</f>
        <v>3012.08888888889</v>
      </c>
      <c r="I33" s="140" t="n">
        <f aca="false">H33+'W Financial Model'!I10-I10</f>
        <v>43641.3657026156</v>
      </c>
      <c r="J33" s="140" t="n">
        <f aca="false">I33+'W Financial Model'!J10-J10</f>
        <v>113019.525064836</v>
      </c>
      <c r="K33" s="140" t="n">
        <f aca="false">J33+'W Financial Model'!K10-K10</f>
        <v>192401.992982456</v>
      </c>
      <c r="L33" s="140" t="n">
        <f aca="false">K33+'W Financial Model'!L10-L10</f>
        <v>261172.297421816</v>
      </c>
      <c r="M33" s="140" t="n">
        <f aca="false">L33+'W Financial Model'!M10-M10</f>
        <v>293884.410635284</v>
      </c>
      <c r="N33" s="140" t="n">
        <f aca="false">M33+'W Financial Model'!N10-N10</f>
        <v>304048.847902365</v>
      </c>
      <c r="O33" s="140" t="n">
        <f aca="false">N33+'W Financial Model'!O10-O10</f>
        <v>303998.743554539</v>
      </c>
      <c r="P33" s="140" t="n">
        <f aca="false">O33+'W Financial Model'!P10-P10</f>
        <v>298236.160945843</v>
      </c>
      <c r="Q33" s="140" t="n">
        <f aca="false">P33+'W Financial Model'!Q10-Q10</f>
        <v>300090.83051106</v>
      </c>
      <c r="R33" s="140" t="n">
        <f aca="false">Q33+'W Financial Model'!R10-R10</f>
        <v>302083.23051106</v>
      </c>
      <c r="S33" s="140" t="n">
        <f aca="false">R33+'W Financial Model'!S10-S10</f>
        <v>300657.795728452</v>
      </c>
      <c r="T33" s="140" t="n">
        <f aca="false">S33+'W Financial Model'!T10-T10</f>
        <v>471090.942965675</v>
      </c>
      <c r="U33" s="140" t="n">
        <f aca="false">T33+'W Financial Model'!U10-U10</f>
        <v>645359.304342029</v>
      </c>
      <c r="V33" s="140" t="n">
        <f aca="false">U33+'W Financial Model'!V10-V10</f>
        <v>644132.893437681</v>
      </c>
      <c r="W33" s="140" t="n">
        <f aca="false">V33+'W Financial Model'!W10-W10</f>
        <v>651354.258533333</v>
      </c>
      <c r="X33" s="140" t="n">
        <f aca="false">W33+'W Financial Model'!X10-X10</f>
        <v>645359.304342028</v>
      </c>
      <c r="Y33" s="140" t="n">
        <f aca="false">X33+'W Financial Model'!Y10-Y10</f>
        <v>641305.855246376</v>
      </c>
      <c r="Z33" s="140" t="n">
        <f aca="false">Y33+'W Financial Model'!Z10-Z10</f>
        <v>648356.781437681</v>
      </c>
      <c r="AA33" s="140" t="n">
        <f aca="false">Z33+'W Financial Model'!AA10-AA10</f>
        <v>647471.248342029</v>
      </c>
      <c r="AB33" s="140" t="n">
        <f aca="false">AA33+'W Financial Model'!AB10-AB10</f>
        <v>641305.855246377</v>
      </c>
      <c r="AC33" s="140" t="n">
        <f aca="false">AB33+'W Financial Model'!AC10-AC10</f>
        <v>643043.582863768</v>
      </c>
      <c r="AD33" s="140" t="n">
        <f aca="false">AC33+'W Financial Model'!AD10-AD10</f>
        <v>645155.526863769</v>
      </c>
      <c r="AE33" s="140" t="n">
        <f aca="false">AD33+'W Financial Model'!AE10-AE10</f>
        <v>643758.677055073</v>
      </c>
      <c r="AF33" s="140" t="n">
        <f aca="false">AE33+'W Financial Model'!AF10-AF10</f>
        <v>940767.75191207</v>
      </c>
      <c r="AG33" s="140" t="n">
        <f aca="false">AF33+'W Financial Model'!AG10-AG10</f>
        <v>1242027.47655434</v>
      </c>
      <c r="AH33" s="140" t="n">
        <f aca="false">AG33+'W Financial Model'!AH10-AH10</f>
        <v>1240773.88292994</v>
      </c>
      <c r="AI33" s="140" t="n">
        <f aca="false">AH33+'W Financial Model'!AI10-AI10</f>
        <v>1248474.93186555</v>
      </c>
      <c r="AJ33" s="140" t="n">
        <f aca="false">AI33+'W Financial Model'!AJ10-AJ10</f>
        <v>1242027.47655434</v>
      </c>
      <c r="AK33" s="140" t="n">
        <f aca="false">AJ33+'W Financial Model'!AK10-AK10</f>
        <v>1237684.41857874</v>
      </c>
      <c r="AL33" s="140" t="n">
        <f aca="false">AK33+'W Financial Model'!AL10-AL10</f>
        <v>1245251.20420995</v>
      </c>
      <c r="AM33" s="140" t="n">
        <f aca="false">AL33+'W Financial Model'!AM10-AM10</f>
        <v>1244266.13719434</v>
      </c>
      <c r="AN33" s="140" t="n">
        <f aca="false">AM33+'W Financial Model'!AN10-AN10</f>
        <v>1237684.41857874</v>
      </c>
      <c r="AO33" s="140" t="n">
        <f aca="false">AN33+'W Financial Model'!AO10-AO10</f>
        <v>1239340.80211632</v>
      </c>
      <c r="AP33" s="140" t="n">
        <f aca="false">AO33+'W Financial Model'!AP10-AP10</f>
        <v>1241579.46275632</v>
      </c>
      <c r="AQ33" s="140" t="n">
        <f aca="false">AP33+'W Financial Model'!AQ10-AQ10</f>
        <v>1240191.60582753</v>
      </c>
    </row>
    <row r="34" customFormat="false" ht="21" hidden="false" customHeight="true" outlineLevel="0" collapsed="false">
      <c r="C34" s="86" t="s">
        <v>1155</v>
      </c>
      <c r="D34" s="94" t="n">
        <f aca="false">S34</f>
        <v>41366.2782608695</v>
      </c>
      <c r="E34" s="94" t="n">
        <f aca="false">AE34</f>
        <v>71364.0692695653</v>
      </c>
      <c r="F34" s="94" t="n">
        <f aca="false">AQ34</f>
        <v>121320.653935465</v>
      </c>
      <c r="G34" s="110"/>
      <c r="H34" s="140" t="n">
        <f aca="false">SUM('W Financial Model'!H16,'W Financial Model'!H22:H23)-SUM(H16,H18)</f>
        <v>1920</v>
      </c>
      <c r="I34" s="140" t="n">
        <f aca="false">H34+SUM('W Financial Model'!I16,'W Financial Model'!I22:I23)-SUM(I16,I18)</f>
        <v>10248.3232538569</v>
      </c>
      <c r="J34" s="140" t="n">
        <f aca="false">I34+SUM('W Financial Model'!J16,'W Financial Model'!J22:J23)-SUM(J16,J18)</f>
        <v>18493.6278260869</v>
      </c>
      <c r="K34" s="140" t="n">
        <f aca="false">J34+SUM('W Financial Model'!K16,'W Financial Model'!K22:K23)-SUM(K16,K18)</f>
        <v>28383.68</v>
      </c>
      <c r="L34" s="140" t="n">
        <f aca="false">K34+SUM('W Financial Model'!L16,'W Financial Model'!L22:L23)-SUM(L16,L18)</f>
        <v>37949.8869565217</v>
      </c>
      <c r="M34" s="140" t="n">
        <f aca="false">L34+SUM('W Financial Model'!M16,'W Financial Model'!M22:M23)-SUM(M16,M18)</f>
        <v>39090.4049689441</v>
      </c>
      <c r="N34" s="140" t="n">
        <f aca="false">M34+SUM('W Financial Model'!N16,'W Financial Model'!N22:N23)-SUM(N16,N18)</f>
        <v>44700.7130434782</v>
      </c>
      <c r="O34" s="140" t="n">
        <f aca="false">N34+SUM('W Financial Model'!O16,'W Financial Model'!O22:O23)-SUM(O16,O18)</f>
        <v>44655.9913043478</v>
      </c>
      <c r="P34" s="140" t="n">
        <f aca="false">O34+SUM('W Financial Model'!P16,'W Financial Model'!P22:P23)-SUM(P16,P18)</f>
        <v>42626.0869565217</v>
      </c>
      <c r="Q34" s="140" t="n">
        <f aca="false">P34+SUM('W Financial Model'!Q16,'W Financial Model'!Q22:Q23)-SUM(Q16,Q18)</f>
        <v>41506.4695652173</v>
      </c>
      <c r="R34" s="140" t="n">
        <f aca="false">Q34+SUM('W Financial Model'!R16,'W Financial Model'!R22:R23)-SUM(R16,R18)</f>
        <v>41506.4695652173</v>
      </c>
      <c r="S34" s="140" t="n">
        <f aca="false">R34+SUM('W Financial Model'!S16,'W Financial Model'!S22:S23)-SUM(S16,S18)</f>
        <v>41366.2782608695</v>
      </c>
      <c r="T34" s="140" t="n">
        <f aca="false">S34+SUM('W Financial Model'!T16,'W Financial Model'!T22:T23)-SUM(T16,T18)</f>
        <v>72791.4325217391</v>
      </c>
      <c r="U34" s="140" t="n">
        <f aca="false">T34+SUM('W Financial Model'!U16,'W Financial Model'!U22:U23)-SUM(U16,U18)</f>
        <v>73505.1141478261</v>
      </c>
      <c r="V34" s="140" t="n">
        <f aca="false">U34+SUM('W Financial Model'!V16,'W Financial Model'!V22:V23)-SUM(V16,V18)</f>
        <v>74218.795773913</v>
      </c>
      <c r="W34" s="140" t="n">
        <f aca="false">V34+SUM('W Financial Model'!W16,'W Financial Model'!W22:W23)-SUM(W16,W18)</f>
        <v>74932.4774</v>
      </c>
      <c r="X34" s="140" t="n">
        <f aca="false">W34+SUM('W Financial Model'!X16,'W Financial Model'!X22:X23)-SUM(X16,X18)</f>
        <v>73505.1141478261</v>
      </c>
      <c r="Y34" s="140" t="n">
        <f aca="false">X34+SUM('W Financial Model'!Y16,'W Financial Model'!Y22:Y23)-SUM(Y16,Y18)</f>
        <v>72791.4325217392</v>
      </c>
      <c r="Z34" s="140" t="n">
        <f aca="false">Y34+SUM('W Financial Model'!Z16,'W Financial Model'!Z22:Z23)-SUM(Z16,Z18)</f>
        <v>75674.7957739131</v>
      </c>
      <c r="AA34" s="140" t="n">
        <f aca="false">Z34+SUM('W Financial Model'!AA16,'W Financial Model'!AA22:AA23)-SUM(AA16,AA18)</f>
        <v>74961.1141478262</v>
      </c>
      <c r="AB34" s="140" t="n">
        <f aca="false">AA34+SUM('W Financial Model'!AB16,'W Financial Model'!AB22:AB23)-SUM(AB16,AB18)</f>
        <v>72791.4325217392</v>
      </c>
      <c r="AC34" s="140" t="n">
        <f aca="false">AB34+SUM('W Financial Model'!AC16,'W Financial Model'!AC22:AC23)-SUM(AC16,AC18)</f>
        <v>71392.7060173914</v>
      </c>
      <c r="AD34" s="140" t="n">
        <f aca="false">AC34+SUM('W Financial Model'!AD16,'W Financial Model'!AD22:AD23)-SUM(AD16,AD18)</f>
        <v>71392.7060173914</v>
      </c>
      <c r="AE34" s="140" t="n">
        <f aca="false">AD34+SUM('W Financial Model'!AE16,'W Financial Model'!AE22:AE23)-SUM(AE16,AE18)</f>
        <v>71364.0692695653</v>
      </c>
      <c r="AF34" s="140" t="n">
        <f aca="false">AE34+SUM('W Financial Model'!AF16,'W Financial Model'!AF22:AF23)-SUM(AF16,AF18)</f>
        <v>122908.452817183</v>
      </c>
      <c r="AG34" s="140" t="n">
        <f aca="false">AF34+SUM('W Financial Model'!AG16,'W Financial Model'!AG22:AG23)-SUM(AG16,AG18)</f>
        <v>123702.352258042</v>
      </c>
      <c r="AH34" s="140" t="n">
        <f aca="false">AG34+SUM('W Financial Model'!AH16,'W Financial Model'!AH22:AH23)-SUM(AH16,AH18)</f>
        <v>124496.251698901</v>
      </c>
      <c r="AI34" s="140" t="n">
        <f aca="false">AH34+SUM('W Financial Model'!AI16,'W Financial Model'!AI22:AI23)-SUM(AI16,AI18)</f>
        <v>125290.15113976</v>
      </c>
      <c r="AJ34" s="140" t="n">
        <f aca="false">AI34+SUM('W Financial Model'!AJ16,'W Financial Model'!AJ22:AJ23)-SUM(AJ16,AJ18)</f>
        <v>123702.352258042</v>
      </c>
      <c r="AK34" s="140" t="n">
        <f aca="false">AJ34+SUM('W Financial Model'!AK16,'W Financial Model'!AK22:AK23)-SUM(AK16,AK18)</f>
        <v>122908.452817183</v>
      </c>
      <c r="AL34" s="140" t="n">
        <f aca="false">AK34+SUM('W Financial Model'!AL16,'W Financial Model'!AL22:AL23)-SUM(AL16,AL18)</f>
        <v>126010.491698901</v>
      </c>
      <c r="AM34" s="140" t="n">
        <f aca="false">AL34+SUM('W Financial Model'!AM16,'W Financial Model'!AM22:AM23)-SUM(AM16,AM18)</f>
        <v>125216.592258042</v>
      </c>
      <c r="AN34" s="140" t="n">
        <f aca="false">AM34+SUM('W Financial Model'!AN16,'W Financial Model'!AN22:AN23)-SUM(AN16,AN18)</f>
        <v>122908.452817183</v>
      </c>
      <c r="AO34" s="140" t="n">
        <f aca="false">AN34+SUM('W Financial Model'!AO16,'W Financial Model'!AO22:AO23)-SUM(AO16,AO18)</f>
        <v>121247.095053746</v>
      </c>
      <c r="AP34" s="140" t="n">
        <f aca="false">AO34+SUM('W Financial Model'!AP16,'W Financial Model'!AP22:AP23)-SUM(AP16,AP18)</f>
        <v>121247.095053746</v>
      </c>
      <c r="AQ34" s="140" t="n">
        <f aca="false">AP34+SUM('W Financial Model'!AQ16,'W Financial Model'!AQ22:AQ23)-SUM(AQ16,AQ18)</f>
        <v>121320.653935465</v>
      </c>
    </row>
    <row r="35" customFormat="false" ht="21" hidden="false" customHeight="true" outlineLevel="0" collapsed="false">
      <c r="C35" s="86" t="s">
        <v>1156</v>
      </c>
      <c r="D35" s="94" t="n">
        <f aca="false">S35</f>
        <v>83640.1287185355</v>
      </c>
      <c r="E35" s="94" t="n">
        <f aca="false">AE35</f>
        <v>121161.044456522</v>
      </c>
      <c r="F35" s="94" t="n">
        <f aca="false">AQ35</f>
        <v>178800.451991435</v>
      </c>
      <c r="G35" s="110"/>
      <c r="H35" s="140" t="n">
        <f aca="false">'W Financial Model'!H30-H23</f>
        <v>0</v>
      </c>
      <c r="I35" s="140" t="n">
        <f aca="false">H35+'W Financial Model'!I30-I23</f>
        <v>7755.97070593735</v>
      </c>
      <c r="J35" s="140" t="n">
        <f aca="false">I35+'W Financial Model'!J30-J23</f>
        <v>11376.8709957924</v>
      </c>
      <c r="K35" s="140" t="n">
        <f aca="false">J35+'W Financial Model'!K30-K23</f>
        <v>36896.9189782486</v>
      </c>
      <c r="L35" s="140" t="n">
        <f aca="false">K35+'W Financial Model'!L30-L23</f>
        <v>56537.1263771807</v>
      </c>
      <c r="M35" s="140" t="n">
        <f aca="false">L35+'W Financial Model'!M30-M23</f>
        <v>63307.6382461589</v>
      </c>
      <c r="N35" s="140" t="n">
        <f aca="false">M35+'W Financial Model'!N30-N23</f>
        <v>96521.9521668301</v>
      </c>
      <c r="O35" s="140" t="n">
        <f aca="false">N35+'W Financial Model'!O30-O23</f>
        <v>129503.490000545</v>
      </c>
      <c r="P35" s="140" t="n">
        <f aca="false">O35+'W Financial Model'!P30-P23</f>
        <v>89717.5830663616</v>
      </c>
      <c r="Q35" s="140" t="n">
        <f aca="false">P35+'W Financial Model'!Q30-Q23</f>
        <v>114037.588291381</v>
      </c>
      <c r="R35" s="140" t="n">
        <f aca="false">Q35+'W Financial Model'!R30-R23</f>
        <v>143338.5935164</v>
      </c>
      <c r="S35" s="140" t="n">
        <f aca="false">R35+'W Financial Model'!S30-S23</f>
        <v>83640.1287185355</v>
      </c>
      <c r="T35" s="140" t="n">
        <f aca="false">S35+'W Financial Model'!T30-T23</f>
        <v>119765.861167811</v>
      </c>
      <c r="U35" s="140" t="n">
        <f aca="false">T35+'W Financial Model'!U30-U23</f>
        <v>165774.086906217</v>
      </c>
      <c r="V35" s="140" t="n">
        <f aca="false">U35+'W Financial Model'!V30-V23</f>
        <v>124825.027215217</v>
      </c>
      <c r="W35" s="140" t="n">
        <f aca="false">V35+'W Financial Model'!W30-W23</f>
        <v>185318.379531884</v>
      </c>
      <c r="X35" s="140" t="n">
        <f aca="false">W35+'W Financial Model'!X30-X23</f>
        <v>231326.60527029</v>
      </c>
      <c r="Y35" s="140" t="n">
        <f aca="false">X35+'W Financial Model'!Y30-Y23</f>
        <v>142627.310504348</v>
      </c>
      <c r="Z35" s="140" t="n">
        <f aca="false">Y35+'W Financial Model'!Z30-Z23</f>
        <v>190964.099531884</v>
      </c>
      <c r="AA35" s="140" t="n">
        <f aca="false">Z35+'W Financial Model'!AA30-AA23</f>
        <v>237338.18527029</v>
      </c>
      <c r="AB35" s="140" t="n">
        <f aca="false">AA35+'W Financial Model'!AB30-AB23</f>
        <v>130836.607215217</v>
      </c>
      <c r="AC35" s="140" t="n">
        <f aca="false">AB35+'W Financial Model'!AC30-AC23</f>
        <v>167397.176507971</v>
      </c>
      <c r="AD35" s="140" t="n">
        <f aca="false">AC35+'W Financial Model'!AD30-AD23</f>
        <v>209237.605800725</v>
      </c>
      <c r="AE35" s="140" t="n">
        <f aca="false">AD35+'W Financial Model'!AE30-AE23</f>
        <v>121161.044456522</v>
      </c>
      <c r="AF35" s="140" t="n">
        <f aca="false">AE35+'W Financial Model'!AF30-AF23</f>
        <v>176521.534649762</v>
      </c>
      <c r="AG35" s="140" t="n">
        <f aca="false">AF35+'W Financial Model'!AG30-AG23</f>
        <v>242460.313381832</v>
      </c>
      <c r="AH35" s="140" t="n">
        <f aca="false">AG35+'W Financial Model'!AH30-AH23</f>
        <v>183824.707196208</v>
      </c>
      <c r="AI35" s="140" t="n">
        <f aca="false">AH35+'W Financial Model'!AI30-AI23</f>
        <v>265323.411405935</v>
      </c>
      <c r="AJ35" s="140" t="n">
        <f aca="false">AI35+'W Financial Model'!AJ30-AJ23</f>
        <v>331262.190138004</v>
      </c>
      <c r="AK35" s="140" t="n">
        <f aca="false">AJ35+'W Financial Model'!AK30-AK23</f>
        <v>202797.973135037</v>
      </c>
      <c r="AL35" s="140" t="n">
        <f aca="false">AK35+'W Financial Model'!AL30-AL23</f>
        <v>271406.154605935</v>
      </c>
      <c r="AM35" s="140" t="n">
        <f aca="false">AL35+'W Financial Model'!AM30-AM23</f>
        <v>337831.024938004</v>
      </c>
      <c r="AN35" s="140" t="n">
        <f aca="false">AM35+'W Financial Model'!AN30-AN23</f>
        <v>190393.541996208</v>
      </c>
      <c r="AO35" s="140" t="n">
        <f aca="false">AN35+'W Financial Model'!AO30-AO23</f>
        <v>245901.856634134</v>
      </c>
      <c r="AP35" s="140" t="n">
        <f aca="false">AO35+'W Financial Model'!AP30-AP23</f>
        <v>307006.82287206</v>
      </c>
      <c r="AQ35" s="140" t="n">
        <f aca="false">AP35+'W Financial Model'!AQ30-AQ23</f>
        <v>178800.451991435</v>
      </c>
    </row>
    <row r="36" customFormat="false" ht="21" hidden="false" customHeight="true" outlineLevel="0" collapsed="false">
      <c r="C36" s="86" t="s">
        <v>1157</v>
      </c>
      <c r="D36" s="94" t="n">
        <f aca="false">S36</f>
        <v>0</v>
      </c>
      <c r="E36" s="94" t="n">
        <f aca="false">AE36</f>
        <v>0</v>
      </c>
      <c r="F36" s="94" t="n">
        <f aca="false">AQ36</f>
        <v>0</v>
      </c>
      <c r="G36" s="110"/>
      <c r="H36" s="115" t="n">
        <f aca="false">SUM('W Financial Model'!H17,'W Financial Model'!H24)-H24</f>
        <v>0</v>
      </c>
      <c r="I36" s="115" t="n">
        <f aca="false">H36+SUM('W Financial Model'!I17,'W Financial Model'!I24)-I24</f>
        <v>0</v>
      </c>
      <c r="J36" s="115" t="n">
        <f aca="false">I36+SUM('W Financial Model'!J17,'W Financial Model'!J24)-J24</f>
        <v>0</v>
      </c>
      <c r="K36" s="115" t="n">
        <f aca="false">J36+SUM('W Financial Model'!K17,'W Financial Model'!K24)-K24</f>
        <v>0</v>
      </c>
      <c r="L36" s="115" t="n">
        <f aca="false">K36+SUM('W Financial Model'!L17,'W Financial Model'!L24)-L24</f>
        <v>0</v>
      </c>
      <c r="M36" s="115" t="n">
        <f aca="false">L36+SUM('W Financial Model'!M17,'W Financial Model'!M24)-M24</f>
        <v>0</v>
      </c>
      <c r="N36" s="115" t="n">
        <f aca="false">M36+SUM('W Financial Model'!N17,'W Financial Model'!N24)-N24</f>
        <v>0</v>
      </c>
      <c r="O36" s="115" t="n">
        <f aca="false">N36+SUM('W Financial Model'!O17,'W Financial Model'!O24)-O24</f>
        <v>0</v>
      </c>
      <c r="P36" s="115" t="n">
        <f aca="false">O36+SUM('W Financial Model'!P17,'W Financial Model'!P24)-P24</f>
        <v>0</v>
      </c>
      <c r="Q36" s="115" t="n">
        <f aca="false">P36+SUM('W Financial Model'!Q17,'W Financial Model'!Q24)-Q24</f>
        <v>0</v>
      </c>
      <c r="R36" s="115" t="n">
        <f aca="false">Q36+SUM('W Financial Model'!R17,'W Financial Model'!R24)-R24</f>
        <v>0</v>
      </c>
      <c r="S36" s="115" t="n">
        <f aca="false">R36+SUM('W Financial Model'!S17,'W Financial Model'!S24)-S24</f>
        <v>0</v>
      </c>
      <c r="T36" s="115" t="n">
        <f aca="false">S36+SUM('W Financial Model'!T17,'W Financial Model'!T24)-T24</f>
        <v>0</v>
      </c>
      <c r="U36" s="115" t="n">
        <f aca="false">T36+SUM('W Financial Model'!U17,'W Financial Model'!U24)-U24</f>
        <v>0</v>
      </c>
      <c r="V36" s="115" t="n">
        <f aca="false">U36+SUM('W Financial Model'!V17,'W Financial Model'!V24)-V24</f>
        <v>0</v>
      </c>
      <c r="W36" s="115" t="n">
        <f aca="false">V36+SUM('W Financial Model'!W17,'W Financial Model'!W24)-W24</f>
        <v>0</v>
      </c>
      <c r="X36" s="115" t="n">
        <f aca="false">W36+SUM('W Financial Model'!X17,'W Financial Model'!X24)-X24</f>
        <v>0</v>
      </c>
      <c r="Y36" s="115" t="n">
        <f aca="false">X36+SUM('W Financial Model'!Y17,'W Financial Model'!Y24)-Y24</f>
        <v>0</v>
      </c>
      <c r="Z36" s="115" t="n">
        <f aca="false">Y36+SUM('W Financial Model'!Z17,'W Financial Model'!Z24)-Z24</f>
        <v>0</v>
      </c>
      <c r="AA36" s="115" t="n">
        <f aca="false">Z36+SUM('W Financial Model'!AA17,'W Financial Model'!AA24)-AA24</f>
        <v>0</v>
      </c>
      <c r="AB36" s="115" t="n">
        <f aca="false">AA36+SUM('W Financial Model'!AB17,'W Financial Model'!AB24)-AB24</f>
        <v>0</v>
      </c>
      <c r="AC36" s="115" t="n">
        <f aca="false">AB36+SUM('W Financial Model'!AC17,'W Financial Model'!AC24)-AC24</f>
        <v>0</v>
      </c>
      <c r="AD36" s="115" t="n">
        <f aca="false">AC36+SUM('W Financial Model'!AD17,'W Financial Model'!AD24)-AD24</f>
        <v>0</v>
      </c>
      <c r="AE36" s="115" t="n">
        <f aca="false">AD36+SUM('W Financial Model'!AE17,'W Financial Model'!AE24)-AE24</f>
        <v>0</v>
      </c>
      <c r="AF36" s="115" t="n">
        <f aca="false">AE36+SUM('W Financial Model'!AF17,'W Financial Model'!AF24)-AF24</f>
        <v>0</v>
      </c>
      <c r="AG36" s="115" t="n">
        <f aca="false">AF36+SUM('W Financial Model'!AG17,'W Financial Model'!AG24)-AG24</f>
        <v>0</v>
      </c>
      <c r="AH36" s="115" t="n">
        <f aca="false">AG36+SUM('W Financial Model'!AH17,'W Financial Model'!AH24)-AH24</f>
        <v>0</v>
      </c>
      <c r="AI36" s="115" t="n">
        <f aca="false">AH36+SUM('W Financial Model'!AI17,'W Financial Model'!AI24)-AI24</f>
        <v>0</v>
      </c>
      <c r="AJ36" s="115" t="n">
        <f aca="false">AI36+SUM('W Financial Model'!AJ17,'W Financial Model'!AJ24)-AJ24</f>
        <v>0</v>
      </c>
      <c r="AK36" s="115" t="n">
        <f aca="false">AJ36+SUM('W Financial Model'!AK17,'W Financial Model'!AK24)-AK24</f>
        <v>0</v>
      </c>
      <c r="AL36" s="115" t="n">
        <f aca="false">AK36+SUM('W Financial Model'!AL17,'W Financial Model'!AL24)-AL24</f>
        <v>0</v>
      </c>
      <c r="AM36" s="115" t="n">
        <f aca="false">AL36+SUM('W Financial Model'!AM17,'W Financial Model'!AM24)-AM24</f>
        <v>0</v>
      </c>
      <c r="AN36" s="115" t="n">
        <f aca="false">AM36+SUM('W Financial Model'!AN17,'W Financial Model'!AN24)-AN24</f>
        <v>0</v>
      </c>
      <c r="AO36" s="115" t="n">
        <f aca="false">AN36+SUM('W Financial Model'!AO17,'W Financial Model'!AO24)-AO24</f>
        <v>0</v>
      </c>
      <c r="AP36" s="115" t="n">
        <f aca="false">AO36+SUM('W Financial Model'!AP17,'W Financial Model'!AP24)-AP24</f>
        <v>0</v>
      </c>
      <c r="AQ36" s="115" t="n">
        <f aca="false">AP36+SUM('W Financial Model'!AQ17,'W Financial Model'!AQ24)-AQ24</f>
        <v>0</v>
      </c>
    </row>
    <row r="37" customFormat="false" ht="21" hidden="false" customHeight="true" outlineLevel="0" collapsed="false">
      <c r="C37" s="74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</row>
    <row r="38" customFormat="false" ht="21" hidden="false" customHeight="true" outlineLevel="0" collapsed="false">
      <c r="C38" s="74" t="s">
        <v>1158</v>
      </c>
      <c r="D38" s="152" t="n">
        <f aca="false">SUM(H38:S38)</f>
        <v>137392.5</v>
      </c>
      <c r="E38" s="152" t="n">
        <f aca="false">SUM(T38:AE38)</f>
        <v>824656.25</v>
      </c>
      <c r="F38" s="152" t="n">
        <f aca="false">SUM(AF38:AQ38)</f>
        <v>2365146.325</v>
      </c>
      <c r="G38" s="79"/>
      <c r="H38" s="112" t="n">
        <f aca="false">'W TLI JV'!H29</f>
        <v>0</v>
      </c>
      <c r="I38" s="112" t="n">
        <f aca="false">'W TLI JV'!I29</f>
        <v>0</v>
      </c>
      <c r="J38" s="112" t="n">
        <f aca="false">'W TLI JV'!J29</f>
        <v>0</v>
      </c>
      <c r="K38" s="112" t="n">
        <f aca="false">'W TLI JV'!K29</f>
        <v>0</v>
      </c>
      <c r="L38" s="112" t="n">
        <f aca="false">'W TLI JV'!L29</f>
        <v>0</v>
      </c>
      <c r="M38" s="112" t="n">
        <f aca="false">'W TLI JV'!M29</f>
        <v>0</v>
      </c>
      <c r="N38" s="112" t="n">
        <f aca="false">'W TLI JV'!N29</f>
        <v>0</v>
      </c>
      <c r="O38" s="112" t="n">
        <f aca="false">'W TLI JV'!O29</f>
        <v>0</v>
      </c>
      <c r="P38" s="112" t="n">
        <f aca="false">'W TLI JV'!P29</f>
        <v>0</v>
      </c>
      <c r="Q38" s="112" t="n">
        <f aca="false">'W TLI JV'!Q29</f>
        <v>0</v>
      </c>
      <c r="R38" s="112" t="n">
        <f aca="false">'W TLI JV'!R29</f>
        <v>0</v>
      </c>
      <c r="S38" s="112" t="n">
        <f aca="false">'W TLI JV'!S29</f>
        <v>137392.5</v>
      </c>
      <c r="T38" s="112" t="n">
        <f aca="false">'W TLI JV'!T29</f>
        <v>0</v>
      </c>
      <c r="U38" s="112" t="n">
        <f aca="false">'W TLI JV'!U29</f>
        <v>0</v>
      </c>
      <c r="V38" s="112" t="n">
        <f aca="false">'W TLI JV'!V29</f>
        <v>0</v>
      </c>
      <c r="W38" s="112" t="n">
        <f aca="false">'W TLI JV'!W29</f>
        <v>0</v>
      </c>
      <c r="X38" s="112" t="n">
        <f aca="false">'W TLI JV'!X29</f>
        <v>0</v>
      </c>
      <c r="Y38" s="112" t="n">
        <f aca="false">'W TLI JV'!Y29</f>
        <v>0</v>
      </c>
      <c r="Z38" s="112" t="n">
        <f aca="false">'W TLI JV'!Z29</f>
        <v>0</v>
      </c>
      <c r="AA38" s="112" t="n">
        <f aca="false">'W TLI JV'!AA29</f>
        <v>0</v>
      </c>
      <c r="AB38" s="112" t="n">
        <f aca="false">'W TLI JV'!AB29</f>
        <v>0</v>
      </c>
      <c r="AC38" s="112" t="n">
        <f aca="false">'W TLI JV'!AC29</f>
        <v>0</v>
      </c>
      <c r="AD38" s="112" t="n">
        <f aca="false">'W TLI JV'!AD29</f>
        <v>0</v>
      </c>
      <c r="AE38" s="112" t="n">
        <f aca="false">'W TLI JV'!AE29</f>
        <v>824656.25</v>
      </c>
      <c r="AF38" s="112" t="n">
        <f aca="false">'W TLI JV'!AF29</f>
        <v>0</v>
      </c>
      <c r="AG38" s="112" t="n">
        <f aca="false">'W TLI JV'!AG29</f>
        <v>0</v>
      </c>
      <c r="AH38" s="112" t="n">
        <f aca="false">'W TLI JV'!AH29</f>
        <v>0</v>
      </c>
      <c r="AI38" s="112" t="n">
        <f aca="false">'W TLI JV'!AI29</f>
        <v>0</v>
      </c>
      <c r="AJ38" s="112" t="n">
        <f aca="false">'W TLI JV'!AJ29</f>
        <v>0</v>
      </c>
      <c r="AK38" s="112" t="n">
        <f aca="false">'W TLI JV'!AK29</f>
        <v>0</v>
      </c>
      <c r="AL38" s="112" t="n">
        <f aca="false">'W TLI JV'!AL29</f>
        <v>0</v>
      </c>
      <c r="AM38" s="112" t="n">
        <f aca="false">'W TLI JV'!AM29</f>
        <v>0</v>
      </c>
      <c r="AN38" s="112" t="n">
        <f aca="false">'W TLI JV'!AN29</f>
        <v>0</v>
      </c>
      <c r="AO38" s="112" t="n">
        <f aca="false">'W TLI JV'!AO29</f>
        <v>0</v>
      </c>
      <c r="AP38" s="112" t="n">
        <f aca="false">'W TLI JV'!AP29</f>
        <v>0</v>
      </c>
      <c r="AQ38" s="112" t="n">
        <f aca="false">'W TLI JV'!AQ29</f>
        <v>2365146.325</v>
      </c>
    </row>
    <row r="39" customFormat="false" ht="21" hidden="false" customHeight="true" outlineLevel="0" collapsed="false">
      <c r="C39" s="74" t="s">
        <v>1159</v>
      </c>
      <c r="D39" s="152" t="n">
        <f aca="false">SUM(H39:S39)</f>
        <v>0</v>
      </c>
      <c r="E39" s="152" t="n">
        <f aca="false">SUM(T39:AE39)</f>
        <v>82435.5</v>
      </c>
      <c r="F39" s="152" t="n">
        <f aca="false">SUM(AF39:AQ39)</f>
        <v>494793.75</v>
      </c>
      <c r="G39" s="79"/>
      <c r="H39" s="112" t="n">
        <f aca="false">'W TLI JV'!H39</f>
        <v>0</v>
      </c>
      <c r="I39" s="112" t="n">
        <f aca="false">'W TLI JV'!I39</f>
        <v>0</v>
      </c>
      <c r="J39" s="112" t="n">
        <f aca="false">'W TLI JV'!J39</f>
        <v>0</v>
      </c>
      <c r="K39" s="112" t="n">
        <f aca="false">'W TLI JV'!K39</f>
        <v>0</v>
      </c>
      <c r="L39" s="112" t="n">
        <f aca="false">'W TLI JV'!L39</f>
        <v>0</v>
      </c>
      <c r="M39" s="112" t="n">
        <f aca="false">'W TLI JV'!M39</f>
        <v>0</v>
      </c>
      <c r="N39" s="112" t="n">
        <f aca="false">'W TLI JV'!N39</f>
        <v>0</v>
      </c>
      <c r="O39" s="112" t="n">
        <f aca="false">'W TLI JV'!O39</f>
        <v>0</v>
      </c>
      <c r="P39" s="112" t="n">
        <f aca="false">'W TLI JV'!P39</f>
        <v>0</v>
      </c>
      <c r="Q39" s="112" t="n">
        <f aca="false">'W TLI JV'!Q39</f>
        <v>0</v>
      </c>
      <c r="R39" s="112" t="n">
        <f aca="false">'W TLI JV'!R39</f>
        <v>0</v>
      </c>
      <c r="S39" s="112" t="n">
        <f aca="false">'W TLI JV'!S39</f>
        <v>0</v>
      </c>
      <c r="T39" s="112" t="n">
        <f aca="false">'W TLI JV'!T39</f>
        <v>0</v>
      </c>
      <c r="U39" s="112" t="n">
        <f aca="false">'W TLI JV'!U39</f>
        <v>0</v>
      </c>
      <c r="V39" s="112" t="n">
        <f aca="false">'W TLI JV'!V39</f>
        <v>82435.5</v>
      </c>
      <c r="W39" s="112" t="n">
        <f aca="false">'W TLI JV'!W39</f>
        <v>0</v>
      </c>
      <c r="X39" s="112" t="n">
        <f aca="false">'W TLI JV'!X39</f>
        <v>0</v>
      </c>
      <c r="Y39" s="112" t="n">
        <f aca="false">'W TLI JV'!Y39</f>
        <v>0</v>
      </c>
      <c r="Z39" s="112" t="n">
        <f aca="false">'W TLI JV'!Z39</f>
        <v>0</v>
      </c>
      <c r="AA39" s="112" t="n">
        <f aca="false">'W TLI JV'!AA39</f>
        <v>0</v>
      </c>
      <c r="AB39" s="112" t="n">
        <f aca="false">'W TLI JV'!AB39</f>
        <v>0</v>
      </c>
      <c r="AC39" s="112" t="n">
        <f aca="false">'W TLI JV'!AC39</f>
        <v>0</v>
      </c>
      <c r="AD39" s="112" t="n">
        <f aca="false">'W TLI JV'!AD39</f>
        <v>0</v>
      </c>
      <c r="AE39" s="112" t="n">
        <f aca="false">'W TLI JV'!AE39</f>
        <v>0</v>
      </c>
      <c r="AF39" s="112" t="n">
        <f aca="false">'W TLI JV'!AF39</f>
        <v>0</v>
      </c>
      <c r="AG39" s="112" t="n">
        <f aca="false">'W TLI JV'!AG39</f>
        <v>0</v>
      </c>
      <c r="AH39" s="112" t="n">
        <f aca="false">'W TLI JV'!AH39</f>
        <v>494793.75</v>
      </c>
      <c r="AI39" s="112" t="n">
        <f aca="false">'W TLI JV'!AI39</f>
        <v>0</v>
      </c>
      <c r="AJ39" s="112" t="n">
        <f aca="false">'W TLI JV'!AJ39</f>
        <v>0</v>
      </c>
      <c r="AK39" s="112" t="n">
        <f aca="false">'W TLI JV'!AK39</f>
        <v>0</v>
      </c>
      <c r="AL39" s="112" t="n">
        <f aca="false">'W TLI JV'!AL39</f>
        <v>0</v>
      </c>
      <c r="AM39" s="112" t="n">
        <f aca="false">'W TLI JV'!AM39</f>
        <v>0</v>
      </c>
      <c r="AN39" s="112" t="n">
        <f aca="false">'W TLI JV'!AN39</f>
        <v>0</v>
      </c>
      <c r="AO39" s="112" t="n">
        <f aca="false">'W TLI JV'!AO39</f>
        <v>0</v>
      </c>
      <c r="AP39" s="112" t="n">
        <f aca="false">'W TLI JV'!AP39</f>
        <v>0</v>
      </c>
      <c r="AQ39" s="112" t="n">
        <f aca="false">'W TLI JV'!AQ39</f>
        <v>0</v>
      </c>
    </row>
    <row r="40" customFormat="false" ht="21" hidden="false" customHeight="true" outlineLevel="0" collapsed="false">
      <c r="C40" s="74" t="s">
        <v>1160</v>
      </c>
      <c r="D40" s="152" t="n">
        <f aca="false">SUM(H40:S40)</f>
        <v>0</v>
      </c>
      <c r="E40" s="152" t="n">
        <f aca="false">SUM(T40:AE40)</f>
        <v>54957</v>
      </c>
      <c r="F40" s="152" t="n">
        <f aca="false">SUM(AF40:AQ40)</f>
        <v>329862.5</v>
      </c>
      <c r="G40" s="79"/>
      <c r="H40" s="112" t="n">
        <f aca="false">'W TLI JV'!H40</f>
        <v>0</v>
      </c>
      <c r="I40" s="112" t="n">
        <f aca="false">'W TLI JV'!I40</f>
        <v>0</v>
      </c>
      <c r="J40" s="112" t="n">
        <f aca="false">'W TLI JV'!J40</f>
        <v>0</v>
      </c>
      <c r="K40" s="112" t="n">
        <f aca="false">'W TLI JV'!K40</f>
        <v>0</v>
      </c>
      <c r="L40" s="112" t="n">
        <f aca="false">'W TLI JV'!L40</f>
        <v>0</v>
      </c>
      <c r="M40" s="112" t="n">
        <f aca="false">'W TLI JV'!M40</f>
        <v>0</v>
      </c>
      <c r="N40" s="112" t="n">
        <f aca="false">'W TLI JV'!N40</f>
        <v>0</v>
      </c>
      <c r="O40" s="112" t="n">
        <f aca="false">'W TLI JV'!O40</f>
        <v>0</v>
      </c>
      <c r="P40" s="112" t="n">
        <f aca="false">'W TLI JV'!P40</f>
        <v>0</v>
      </c>
      <c r="Q40" s="112" t="n">
        <f aca="false">'W TLI JV'!Q40</f>
        <v>0</v>
      </c>
      <c r="R40" s="112" t="n">
        <f aca="false">'W TLI JV'!R40</f>
        <v>0</v>
      </c>
      <c r="S40" s="112" t="n">
        <f aca="false">'W TLI JV'!S40</f>
        <v>0</v>
      </c>
      <c r="T40" s="112" t="n">
        <f aca="false">'W TLI JV'!T40</f>
        <v>0</v>
      </c>
      <c r="U40" s="112" t="n">
        <f aca="false">'W TLI JV'!U40</f>
        <v>0</v>
      </c>
      <c r="V40" s="112" t="n">
        <f aca="false">'W TLI JV'!V40</f>
        <v>54957</v>
      </c>
      <c r="W40" s="112" t="n">
        <f aca="false">'W TLI JV'!W40</f>
        <v>0</v>
      </c>
      <c r="X40" s="112" t="n">
        <f aca="false">'W TLI JV'!X40</f>
        <v>0</v>
      </c>
      <c r="Y40" s="112" t="n">
        <f aca="false">'W TLI JV'!Y40</f>
        <v>0</v>
      </c>
      <c r="Z40" s="112" t="n">
        <f aca="false">'W TLI JV'!Z40</f>
        <v>0</v>
      </c>
      <c r="AA40" s="112" t="n">
        <f aca="false">'W TLI JV'!AA40</f>
        <v>0</v>
      </c>
      <c r="AB40" s="112" t="n">
        <f aca="false">'W TLI JV'!AB40</f>
        <v>0</v>
      </c>
      <c r="AC40" s="112" t="n">
        <f aca="false">'W TLI JV'!AC40</f>
        <v>0</v>
      </c>
      <c r="AD40" s="112" t="n">
        <f aca="false">'W TLI JV'!AD40</f>
        <v>0</v>
      </c>
      <c r="AE40" s="112" t="n">
        <f aca="false">'W TLI JV'!AE40</f>
        <v>0</v>
      </c>
      <c r="AF40" s="112" t="n">
        <f aca="false">'W TLI JV'!AF40</f>
        <v>0</v>
      </c>
      <c r="AG40" s="112" t="n">
        <f aca="false">'W TLI JV'!AG40</f>
        <v>0</v>
      </c>
      <c r="AH40" s="112" t="n">
        <f aca="false">'W TLI JV'!AH40</f>
        <v>329862.5</v>
      </c>
      <c r="AI40" s="112" t="n">
        <f aca="false">'W TLI JV'!AI40</f>
        <v>0</v>
      </c>
      <c r="AJ40" s="112" t="n">
        <f aca="false">'W TLI JV'!AJ40</f>
        <v>0</v>
      </c>
      <c r="AK40" s="112" t="n">
        <f aca="false">'W TLI JV'!AK40</f>
        <v>0</v>
      </c>
      <c r="AL40" s="112" t="n">
        <f aca="false">'W TLI JV'!AL40</f>
        <v>0</v>
      </c>
      <c r="AM40" s="112" t="n">
        <f aca="false">'W TLI JV'!AM40</f>
        <v>0</v>
      </c>
      <c r="AN40" s="112" t="n">
        <f aca="false">'W TLI JV'!AN40</f>
        <v>0</v>
      </c>
      <c r="AO40" s="112" t="n">
        <f aca="false">'W TLI JV'!AO40</f>
        <v>0</v>
      </c>
      <c r="AP40" s="112" t="n">
        <f aca="false">'W TLI JV'!AP40</f>
        <v>0</v>
      </c>
      <c r="AQ40" s="112" t="n">
        <f aca="false">'W TLI JV'!AQ40</f>
        <v>0</v>
      </c>
    </row>
    <row r="41" customFormat="false" ht="28.5" hidden="false" customHeight="true" outlineLevel="0" collapsed="false">
      <c r="C41" s="111" t="s">
        <v>1161</v>
      </c>
      <c r="D41" s="152" t="n">
        <f aca="false">SUM(H41:S41)</f>
        <v>139404.421872183</v>
      </c>
      <c r="E41" s="152" t="n">
        <f aca="false">SUM(T41:AE41)</f>
        <v>9822820.62385484</v>
      </c>
      <c r="F41" s="152" t="n">
        <f aca="false">SUM(AF41:AQ41)</f>
        <v>14953348.7754872</v>
      </c>
      <c r="G41" s="79"/>
      <c r="H41" s="112" t="n">
        <f aca="false">H30-H40-H47</f>
        <v>-548420.977777778</v>
      </c>
      <c r="I41" s="112" t="n">
        <f aca="false">I30-I40-I47</f>
        <v>-430104.69733586</v>
      </c>
      <c r="J41" s="112" t="n">
        <f aca="false">J30-J40-J47</f>
        <v>-650551.164782363</v>
      </c>
      <c r="K41" s="112" t="n">
        <f aca="false">K30-K40-K47</f>
        <v>-568818.956094584</v>
      </c>
      <c r="L41" s="112" t="n">
        <f aca="false">L30-L40-L47</f>
        <v>-807141.265293669</v>
      </c>
      <c r="M41" s="112" t="n">
        <f aca="false">M30-M40-M47</f>
        <v>-160742.1246909</v>
      </c>
      <c r="N41" s="112" t="n">
        <f aca="false">N30-N40-N47</f>
        <v>658990.833431405</v>
      </c>
      <c r="O41" s="112" t="n">
        <f aca="false">O30-O40-O47</f>
        <v>658894.823493516</v>
      </c>
      <c r="P41" s="112" t="n">
        <f aca="false">P30-P40-P47</f>
        <v>410118.350464749</v>
      </c>
      <c r="Q41" s="112" t="n">
        <f aca="false">Q30-Q40-Q47</f>
        <v>482684.501754386</v>
      </c>
      <c r="R41" s="112" t="n">
        <f aca="false">R30-R40-R47</f>
        <v>583286.388710908</v>
      </c>
      <c r="S41" s="112" t="n">
        <f aca="false">S30-S40-S47</f>
        <v>511208.709992372</v>
      </c>
      <c r="T41" s="112" t="n">
        <f aca="false">T30-T40-T47</f>
        <v>532357.489342487</v>
      </c>
      <c r="U41" s="112" t="n">
        <f aca="false">U30-U40-U47</f>
        <v>777060.668351183</v>
      </c>
      <c r="V41" s="112" t="n">
        <f aca="false">V30-V40-V47</f>
        <v>747615.177695958</v>
      </c>
      <c r="W41" s="112" t="n">
        <f aca="false">W30-W40-W47</f>
        <v>1233810.1961971</v>
      </c>
      <c r="X41" s="112" t="n">
        <f aca="false">X30-X40-X47</f>
        <v>955182.93904058</v>
      </c>
      <c r="Y41" s="112" t="n">
        <f aca="false">Y30-Y40-Y47</f>
        <v>631480.222573188</v>
      </c>
      <c r="Z41" s="112" t="n">
        <f aca="false">Z30-Z40-Z47</f>
        <v>993019.050944927</v>
      </c>
      <c r="AA41" s="112" t="n">
        <f aca="false">AA30-AA40-AA47</f>
        <v>958104.399571015</v>
      </c>
      <c r="AB41" s="112" t="n">
        <f aca="false">AB30-AB40-AB47</f>
        <v>614333.883284058</v>
      </c>
      <c r="AC41" s="112" t="n">
        <f aca="false">AC30-AC40-AC47</f>
        <v>758525.765066667</v>
      </c>
      <c r="AD41" s="112" t="n">
        <f aca="false">AD30-AD40-AD47</f>
        <v>865147.475188406</v>
      </c>
      <c r="AE41" s="112" t="n">
        <f aca="false">AE30-AE40-AE47</f>
        <v>756183.356599276</v>
      </c>
      <c r="AF41" s="112" t="n">
        <f aca="false">AF30-AF40-AF47</f>
        <v>867172.729222099</v>
      </c>
      <c r="AG41" s="112" t="n">
        <f aca="false">AG30-AG40-AG47</f>
        <v>1146137.36610664</v>
      </c>
      <c r="AH41" s="112" t="n">
        <f aca="false">AH30-AH40-AH47</f>
        <v>929360.33069336</v>
      </c>
      <c r="AI41" s="112" t="n">
        <f aca="false">AI30-AI40-AI47</f>
        <v>1750894.55136646</v>
      </c>
      <c r="AJ41" s="112" t="n">
        <f aca="false">AJ30-AJ40-AJ47</f>
        <v>1451462.84773754</v>
      </c>
      <c r="AK41" s="112" t="n">
        <f aca="false">AK30-AK40-AK47</f>
        <v>1054761.87187001</v>
      </c>
      <c r="AL41" s="112" t="n">
        <f aca="false">AL30-AL40-AL47</f>
        <v>1495526.49933514</v>
      </c>
      <c r="AM41" s="112" t="n">
        <f aca="false">AM30-AM40-AM47</f>
        <v>1456516.1908828</v>
      </c>
      <c r="AN41" s="112" t="n">
        <f aca="false">AN30-AN40-AN47</f>
        <v>1036513.02657119</v>
      </c>
      <c r="AO41" s="112" t="n">
        <f aca="false">AO30-AO40-AO47</f>
        <v>1234676.16812416</v>
      </c>
      <c r="AP41" s="112" t="n">
        <f aca="false">AP30-AP40-AP47</f>
        <v>1347688.28078518</v>
      </c>
      <c r="AQ41" s="112" t="n">
        <f aca="false">AQ30-AQ40-AQ47</f>
        <v>1182638.91279263</v>
      </c>
    </row>
    <row r="42" customFormat="false" ht="21" hidden="false" customHeight="true" outlineLevel="0" collapsed="false">
      <c r="C42" s="86" t="s">
        <v>825</v>
      </c>
      <c r="D42" s="167" t="n">
        <f aca="false">S42</f>
        <v>139404.421872183</v>
      </c>
      <c r="E42" s="167" t="n">
        <f aca="false">AE42</f>
        <v>9962225.04572703</v>
      </c>
      <c r="F42" s="167" t="n">
        <f aca="false">AQ42</f>
        <v>24915573.8212142</v>
      </c>
      <c r="G42" s="110"/>
      <c r="H42" s="115" t="n">
        <f aca="false">H41</f>
        <v>-548420.977777778</v>
      </c>
      <c r="I42" s="115" t="n">
        <f aca="false">H42+I41</f>
        <v>-978525.675113637</v>
      </c>
      <c r="J42" s="115" t="n">
        <f aca="false">I42+J41</f>
        <v>-1629076.839896</v>
      </c>
      <c r="K42" s="115" t="n">
        <f aca="false">J42+K41</f>
        <v>-2197895.79599058</v>
      </c>
      <c r="L42" s="115" t="n">
        <f aca="false">K42+L41</f>
        <v>-3005037.06128425</v>
      </c>
      <c r="M42" s="115" t="n">
        <f aca="false">L42+M41</f>
        <v>-3165779.18597515</v>
      </c>
      <c r="N42" s="115" t="n">
        <f aca="false">M42+N41</f>
        <v>-2506788.35254375</v>
      </c>
      <c r="O42" s="115" t="n">
        <f aca="false">N42+O41</f>
        <v>-1847893.52905023</v>
      </c>
      <c r="P42" s="115" t="n">
        <f aca="false">O42+P41</f>
        <v>-1437775.17858548</v>
      </c>
      <c r="Q42" s="115" t="n">
        <f aca="false">P42+Q41</f>
        <v>-955090.676831097</v>
      </c>
      <c r="R42" s="115" t="n">
        <f aca="false">Q42+R41</f>
        <v>-371804.288120189</v>
      </c>
      <c r="S42" s="115" t="n">
        <f aca="false">R42+S41</f>
        <v>139404.421872183</v>
      </c>
      <c r="T42" s="115" t="n">
        <f aca="false">S42+T41</f>
        <v>671761.91121467</v>
      </c>
      <c r="U42" s="115" t="n">
        <f aca="false">T42+U41</f>
        <v>1448822.57956585</v>
      </c>
      <c r="V42" s="115" t="n">
        <f aca="false">U42+V41</f>
        <v>2196437.75726181</v>
      </c>
      <c r="W42" s="115" t="n">
        <f aca="false">V42+W41</f>
        <v>3430247.95345891</v>
      </c>
      <c r="X42" s="115" t="n">
        <f aca="false">W42+X41</f>
        <v>4385430.89249949</v>
      </c>
      <c r="Y42" s="115" t="n">
        <f aca="false">X42+Y41</f>
        <v>5016911.11507268</v>
      </c>
      <c r="Z42" s="115" t="n">
        <f aca="false">Y42+Z41</f>
        <v>6009930.16601761</v>
      </c>
      <c r="AA42" s="115" t="n">
        <f aca="false">Z42+AA41</f>
        <v>6968034.56558862</v>
      </c>
      <c r="AB42" s="115" t="n">
        <f aca="false">AA42+AB41</f>
        <v>7582368.44887268</v>
      </c>
      <c r="AC42" s="115" t="n">
        <f aca="false">AB42+AC41</f>
        <v>8340894.21393935</v>
      </c>
      <c r="AD42" s="115" t="n">
        <f aca="false">AC42+AD41</f>
        <v>9206041.68912775</v>
      </c>
      <c r="AE42" s="115" t="n">
        <f aca="false">AD42+AE41</f>
        <v>9962225.04572703</v>
      </c>
      <c r="AF42" s="115" t="n">
        <f aca="false">AE42+AF41</f>
        <v>10829397.7749491</v>
      </c>
      <c r="AG42" s="115" t="n">
        <f aca="false">AF42+AG41</f>
        <v>11975535.1410558</v>
      </c>
      <c r="AH42" s="115" t="n">
        <f aca="false">AG42+AH41</f>
        <v>12904895.4717491</v>
      </c>
      <c r="AI42" s="115" t="n">
        <f aca="false">AH42+AI41</f>
        <v>14655790.0231156</v>
      </c>
      <c r="AJ42" s="115" t="n">
        <f aca="false">AI42+AJ41</f>
        <v>16107252.8708531</v>
      </c>
      <c r="AK42" s="115" t="n">
        <f aca="false">AJ42+AK41</f>
        <v>17162014.7427231</v>
      </c>
      <c r="AL42" s="115" t="n">
        <f aca="false">AK42+AL41</f>
        <v>18657541.2420583</v>
      </c>
      <c r="AM42" s="115" t="n">
        <f aca="false">AL42+AM41</f>
        <v>20114057.4329411</v>
      </c>
      <c r="AN42" s="115" t="n">
        <f aca="false">AM42+AN41</f>
        <v>21150570.4595123</v>
      </c>
      <c r="AO42" s="115" t="n">
        <f aca="false">AN42+AO41</f>
        <v>22385246.6276364</v>
      </c>
      <c r="AP42" s="115" t="n">
        <f aca="false">AO42+AP41</f>
        <v>23732934.9084216</v>
      </c>
      <c r="AQ42" s="115" t="n">
        <f aca="false">AP42+AQ41</f>
        <v>24915573.8212142</v>
      </c>
    </row>
    <row r="43" customFormat="false" ht="28.5" hidden="false" customHeight="true" outlineLevel="0" collapsed="false">
      <c r="C43" s="111" t="s">
        <v>1162</v>
      </c>
      <c r="D43" s="152" t="n">
        <f aca="false">S43</f>
        <v>137392.5</v>
      </c>
      <c r="E43" s="152" t="n">
        <f aca="false">AE43</f>
        <v>824656.25</v>
      </c>
      <c r="F43" s="152" t="n">
        <f aca="false">AQ43</f>
        <v>2365146.325</v>
      </c>
      <c r="G43" s="79"/>
      <c r="H43" s="112" t="n">
        <f aca="false">'W TLI JV'!H35</f>
        <v>0</v>
      </c>
      <c r="I43" s="112" t="n">
        <f aca="false">'W TLI JV'!I35</f>
        <v>0</v>
      </c>
      <c r="J43" s="112" t="n">
        <f aca="false">'W TLI JV'!J35</f>
        <v>0</v>
      </c>
      <c r="K43" s="112" t="n">
        <f aca="false">'W TLI JV'!K35</f>
        <v>0</v>
      </c>
      <c r="L43" s="112" t="n">
        <f aca="false">'W TLI JV'!L35</f>
        <v>0</v>
      </c>
      <c r="M43" s="112" t="n">
        <f aca="false">'W TLI JV'!M35</f>
        <v>0</v>
      </c>
      <c r="N43" s="112" t="n">
        <f aca="false">'W TLI JV'!N35</f>
        <v>0</v>
      </c>
      <c r="O43" s="112" t="n">
        <f aca="false">'W TLI JV'!O35</f>
        <v>0</v>
      </c>
      <c r="P43" s="112" t="n">
        <f aca="false">'W TLI JV'!P35</f>
        <v>0</v>
      </c>
      <c r="Q43" s="112" t="n">
        <f aca="false">'W TLI JV'!Q35</f>
        <v>0</v>
      </c>
      <c r="R43" s="112" t="n">
        <f aca="false">'W TLI JV'!R35</f>
        <v>0</v>
      </c>
      <c r="S43" s="112" t="n">
        <f aca="false">'W TLI JV'!S35</f>
        <v>137392.5</v>
      </c>
      <c r="T43" s="112" t="n">
        <f aca="false">'W TLI JV'!T35</f>
        <v>137392.5</v>
      </c>
      <c r="U43" s="112" t="n">
        <f aca="false">'W TLI JV'!U35</f>
        <v>137392.5</v>
      </c>
      <c r="V43" s="112" t="n">
        <f aca="false">'W TLI JV'!V35</f>
        <v>0</v>
      </c>
      <c r="W43" s="112" t="n">
        <f aca="false">'W TLI JV'!W35</f>
        <v>0</v>
      </c>
      <c r="X43" s="112" t="n">
        <f aca="false">'W TLI JV'!X35</f>
        <v>0</v>
      </c>
      <c r="Y43" s="112" t="n">
        <f aca="false">'W TLI JV'!Y35</f>
        <v>0</v>
      </c>
      <c r="Z43" s="112" t="n">
        <f aca="false">'W TLI JV'!Z35</f>
        <v>0</v>
      </c>
      <c r="AA43" s="112" t="n">
        <f aca="false">'W TLI JV'!AA35</f>
        <v>0</v>
      </c>
      <c r="AB43" s="112" t="n">
        <f aca="false">'W TLI JV'!AB35</f>
        <v>0</v>
      </c>
      <c r="AC43" s="112" t="n">
        <f aca="false">'W TLI JV'!AC35</f>
        <v>0</v>
      </c>
      <c r="AD43" s="112" t="n">
        <f aca="false">'W TLI JV'!AD35</f>
        <v>0</v>
      </c>
      <c r="AE43" s="112" t="n">
        <f aca="false">'W TLI JV'!AE35</f>
        <v>824656.25</v>
      </c>
      <c r="AF43" s="112" t="n">
        <f aca="false">'W TLI JV'!AF35</f>
        <v>824656.25</v>
      </c>
      <c r="AG43" s="112" t="n">
        <f aca="false">'W TLI JV'!AG35</f>
        <v>824656.25</v>
      </c>
      <c r="AH43" s="112" t="n">
        <f aca="false">'W TLI JV'!AH35</f>
        <v>0</v>
      </c>
      <c r="AI43" s="112" t="n">
        <f aca="false">'W TLI JV'!AI35</f>
        <v>0</v>
      </c>
      <c r="AJ43" s="112" t="n">
        <f aca="false">'W TLI JV'!AJ35</f>
        <v>0</v>
      </c>
      <c r="AK43" s="112" t="n">
        <f aca="false">'W TLI JV'!AK35</f>
        <v>0</v>
      </c>
      <c r="AL43" s="112" t="n">
        <f aca="false">'W TLI JV'!AL35</f>
        <v>0</v>
      </c>
      <c r="AM43" s="112" t="n">
        <f aca="false">'W TLI JV'!AM35</f>
        <v>0</v>
      </c>
      <c r="AN43" s="112" t="n">
        <f aca="false">'W TLI JV'!AN35</f>
        <v>0</v>
      </c>
      <c r="AO43" s="112" t="n">
        <f aca="false">'W TLI JV'!AO35</f>
        <v>0</v>
      </c>
      <c r="AP43" s="112" t="n">
        <f aca="false">'W TLI JV'!AP35</f>
        <v>0</v>
      </c>
      <c r="AQ43" s="112" t="n">
        <f aca="false">'W TLI JV'!AQ35</f>
        <v>2365146.325</v>
      </c>
    </row>
    <row r="44" customFormat="false" ht="21" hidden="false" customHeight="true" outlineLevel="0" collapsed="false">
      <c r="C44" s="86" t="s">
        <v>1163</v>
      </c>
      <c r="D44" s="167" t="n">
        <f aca="false">S44</f>
        <v>187209.105263158</v>
      </c>
      <c r="E44" s="167" t="n">
        <f aca="false">AE44</f>
        <v>1424315.83333333</v>
      </c>
      <c r="F44" s="167" t="n">
        <f aca="false">AQ44</f>
        <v>4231634.15</v>
      </c>
      <c r="G44" s="110"/>
      <c r="H44" s="115" t="n">
        <f aca="false">'W TLI JV'!H34</f>
        <v>0</v>
      </c>
      <c r="I44" s="115" t="n">
        <f aca="false">'W TLI JV'!I34</f>
        <v>-87763.8421052632</v>
      </c>
      <c r="J44" s="115" t="n">
        <f aca="false">'W TLI JV'!J34</f>
        <v>-95267.0263157895</v>
      </c>
      <c r="K44" s="115" t="n">
        <f aca="false">'W TLI JV'!K34</f>
        <v>-90489.8157894737</v>
      </c>
      <c r="L44" s="115" t="n">
        <f aca="false">'W TLI JV'!L34</f>
        <v>-73432.2105263158</v>
      </c>
      <c r="M44" s="115" t="n">
        <f aca="false">'W TLI JV'!M34</f>
        <v>-46500.3684210527</v>
      </c>
      <c r="N44" s="115" t="n">
        <f aca="false">'W TLI JV'!N34</f>
        <v>-7548.78947368427</v>
      </c>
      <c r="O44" s="115" t="n">
        <f aca="false">'W TLI JV'!O34</f>
        <v>31402.7894736841</v>
      </c>
      <c r="P44" s="115" t="n">
        <f aca="false">'W TLI JV'!P34</f>
        <v>70354.3684210526</v>
      </c>
      <c r="Q44" s="115" t="n">
        <f aca="false">'W TLI JV'!Q34</f>
        <v>109305.947368421</v>
      </c>
      <c r="R44" s="115" t="n">
        <f aca="false">'W TLI JV'!R34</f>
        <v>148257.526315789</v>
      </c>
      <c r="S44" s="115" t="n">
        <f aca="false">'W TLI JV'!S34</f>
        <v>187209.105263158</v>
      </c>
      <c r="T44" s="115" t="n">
        <f aca="false">'W TLI JV'!T34</f>
        <v>250736.052631579</v>
      </c>
      <c r="U44" s="115" t="n">
        <f aca="false">'W TLI JV'!U34</f>
        <v>301775</v>
      </c>
      <c r="V44" s="115" t="n">
        <f aca="false">'W TLI JV'!V34</f>
        <v>290375.833333333</v>
      </c>
      <c r="W44" s="115" t="n">
        <f aca="false">'W TLI JV'!W34</f>
        <v>416369.166666667</v>
      </c>
      <c r="X44" s="115" t="n">
        <f aca="false">'W TLI JV'!X34</f>
        <v>542362.5</v>
      </c>
      <c r="Y44" s="115" t="n">
        <f aca="false">'W TLI JV'!Y34</f>
        <v>668355.833333333</v>
      </c>
      <c r="Z44" s="115" t="n">
        <f aca="false">'W TLI JV'!Z34</f>
        <v>794349.166666667</v>
      </c>
      <c r="AA44" s="115" t="n">
        <f aca="false">'W TLI JV'!AA34</f>
        <v>920342.5</v>
      </c>
      <c r="AB44" s="115" t="n">
        <f aca="false">'W TLI JV'!AB34</f>
        <v>1046335.83333333</v>
      </c>
      <c r="AC44" s="115" t="n">
        <f aca="false">'W TLI JV'!AC34</f>
        <v>1172329.16666667</v>
      </c>
      <c r="AD44" s="115" t="n">
        <f aca="false">'W TLI JV'!AD34</f>
        <v>1298322.5</v>
      </c>
      <c r="AE44" s="115" t="n">
        <f aca="false">'W TLI JV'!AE34</f>
        <v>1424315.83333333</v>
      </c>
      <c r="AF44" s="115" t="n">
        <f aca="false">'W TLI JV'!AF34</f>
        <v>1625115.36666667</v>
      </c>
      <c r="AG44" s="115" t="n">
        <f aca="false">'W TLI JV'!AG34</f>
        <v>1801593.4</v>
      </c>
      <c r="AH44" s="115" t="n">
        <f aca="false">'W TLI JV'!AH34</f>
        <v>1302406.85</v>
      </c>
      <c r="AI44" s="115" t="n">
        <f aca="false">'W TLI JV'!AI34</f>
        <v>1627876.55</v>
      </c>
      <c r="AJ44" s="115" t="n">
        <f aca="false">'W TLI JV'!AJ34</f>
        <v>1953346.25</v>
      </c>
      <c r="AK44" s="115" t="n">
        <f aca="false">'W TLI JV'!AK34</f>
        <v>2278815.95</v>
      </c>
      <c r="AL44" s="115" t="n">
        <f aca="false">'W TLI JV'!AL34</f>
        <v>2604285.65</v>
      </c>
      <c r="AM44" s="115" t="n">
        <f aca="false">'W TLI JV'!AM34</f>
        <v>2929755.35</v>
      </c>
      <c r="AN44" s="115" t="n">
        <f aca="false">'W TLI JV'!AN34</f>
        <v>3255225.05</v>
      </c>
      <c r="AO44" s="115" t="n">
        <f aca="false">'W TLI JV'!AO34</f>
        <v>3580694.75</v>
      </c>
      <c r="AP44" s="115" t="n">
        <f aca="false">'W TLI JV'!AP34</f>
        <v>3906164.45</v>
      </c>
      <c r="AQ44" s="115" t="n">
        <f aca="false">'W TLI JV'!AQ34</f>
        <v>4231634.15</v>
      </c>
    </row>
    <row r="45" customFormat="false" ht="21" hidden="false" customHeight="true" outlineLevel="0" collapsed="false">
      <c r="C45" s="74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</row>
    <row r="46" customFormat="false" ht="21" hidden="false" customHeight="true" outlineLevel="0" collapsed="false">
      <c r="C46" s="74" t="s">
        <v>1164</v>
      </c>
      <c r="D46" s="109" t="n">
        <f aca="false">SUM(H46:S46)</f>
        <v>612000</v>
      </c>
      <c r="E46" s="109" t="n">
        <f aca="false">SUM(T46:AE46)</f>
        <v>12240</v>
      </c>
      <c r="F46" s="109" t="n">
        <f aca="false">SUM(AF46:AQ46)</f>
        <v>18360</v>
      </c>
      <c r="G46" s="79"/>
      <c r="H46" s="81" t="n">
        <f aca="false">H28*'W Assumptions'!$D$39</f>
        <v>73200</v>
      </c>
      <c r="I46" s="81" t="n">
        <f aca="false">I28*'W Assumptions'!$D$39</f>
        <v>58800</v>
      </c>
      <c r="J46" s="81" t="n">
        <f aca="false">J28*'W Assumptions'!$D$39</f>
        <v>97500</v>
      </c>
      <c r="K46" s="81" t="n">
        <f aca="false">K28*'W Assumptions'!$D$39</f>
        <v>139500</v>
      </c>
      <c r="L46" s="81" t="n">
        <f aca="false">L28*'W Assumptions'!$D$39</f>
        <v>171000</v>
      </c>
      <c r="M46" s="81" t="n">
        <f aca="false">M28*'W Assumptions'!$D$39</f>
        <v>72000</v>
      </c>
      <c r="N46" s="81" t="n">
        <f aca="false">N28*'W Assumptions'!$D$39</f>
        <v>0</v>
      </c>
      <c r="O46" s="81" t="n">
        <f aca="false">O28*'W Assumptions'!$D$39</f>
        <v>0</v>
      </c>
      <c r="P46" s="81" t="n">
        <f aca="false">P28*'W Assumptions'!$D$39</f>
        <v>0</v>
      </c>
      <c r="Q46" s="81" t="n">
        <f aca="false">Q28*'W Assumptions'!$D$39</f>
        <v>0</v>
      </c>
      <c r="R46" s="81" t="n">
        <f aca="false">R28*'W Assumptions'!$D$39</f>
        <v>0</v>
      </c>
      <c r="S46" s="81" t="n">
        <f aca="false">S28*'W Assumptions'!$D$39</f>
        <v>0</v>
      </c>
      <c r="T46" s="81" t="n">
        <f aca="false">T28*'W Assumptions'!$D$39</f>
        <v>12240</v>
      </c>
      <c r="U46" s="81" t="n">
        <f aca="false">U28*'W Assumptions'!$D$39</f>
        <v>0</v>
      </c>
      <c r="V46" s="81" t="n">
        <f aca="false">V28*'W Assumptions'!$D$39</f>
        <v>0</v>
      </c>
      <c r="W46" s="81" t="n">
        <f aca="false">W28*'W Assumptions'!$D$39</f>
        <v>0</v>
      </c>
      <c r="X46" s="81" t="n">
        <f aca="false">X28*'W Assumptions'!$D$39</f>
        <v>0</v>
      </c>
      <c r="Y46" s="81" t="n">
        <f aca="false">Y28*'W Assumptions'!$D$39</f>
        <v>0</v>
      </c>
      <c r="Z46" s="81" t="n">
        <f aca="false">Z28*'W Assumptions'!$D$39</f>
        <v>0</v>
      </c>
      <c r="AA46" s="81" t="n">
        <f aca="false">AA28*'W Assumptions'!$D$39</f>
        <v>0</v>
      </c>
      <c r="AB46" s="81" t="n">
        <f aca="false">AB28*'W Assumptions'!$D$39</f>
        <v>0</v>
      </c>
      <c r="AC46" s="81" t="n">
        <f aca="false">AC28*'W Assumptions'!$D$39</f>
        <v>0</v>
      </c>
      <c r="AD46" s="81" t="n">
        <f aca="false">AD28*'W Assumptions'!$D$39</f>
        <v>0</v>
      </c>
      <c r="AE46" s="81" t="n">
        <f aca="false">AE28*'W Assumptions'!$D$39</f>
        <v>0</v>
      </c>
      <c r="AF46" s="81" t="n">
        <f aca="false">AF28*'W Assumptions'!$D$39</f>
        <v>18360</v>
      </c>
      <c r="AG46" s="81" t="n">
        <f aca="false">AG28*'W Assumptions'!$D$39</f>
        <v>0</v>
      </c>
      <c r="AH46" s="81" t="n">
        <f aca="false">AH28*'W Assumptions'!$D$39</f>
        <v>0</v>
      </c>
      <c r="AI46" s="81" t="n">
        <f aca="false">AI28*'W Assumptions'!$D$39</f>
        <v>0</v>
      </c>
      <c r="AJ46" s="81" t="n">
        <f aca="false">AJ28*'W Assumptions'!$D$39</f>
        <v>0</v>
      </c>
      <c r="AK46" s="81" t="n">
        <f aca="false">AK28*'W Assumptions'!$D$39</f>
        <v>0</v>
      </c>
      <c r="AL46" s="81" t="n">
        <f aca="false">AL28*'W Assumptions'!$D$39</f>
        <v>0</v>
      </c>
      <c r="AM46" s="81" t="n">
        <f aca="false">AM28*'W Assumptions'!$D$39</f>
        <v>0</v>
      </c>
      <c r="AN46" s="81" t="n">
        <f aca="false">AN28*'W Assumptions'!$D$39</f>
        <v>0</v>
      </c>
      <c r="AO46" s="81" t="n">
        <f aca="false">AO28*'W Assumptions'!$D$39</f>
        <v>0</v>
      </c>
      <c r="AP46" s="81" t="n">
        <f aca="false">AP28*'W Assumptions'!$D$39</f>
        <v>0</v>
      </c>
      <c r="AQ46" s="81" t="n">
        <f aca="false">AQ28*'W Assumptions'!$D$39</f>
        <v>0</v>
      </c>
    </row>
    <row r="47" customFormat="false" ht="21" hidden="false" customHeight="true" outlineLevel="0" collapsed="false">
      <c r="C47" s="74" t="s">
        <v>1165</v>
      </c>
      <c r="D47" s="152" t="n">
        <f aca="false">SUM(H47:S47)</f>
        <v>0</v>
      </c>
      <c r="E47" s="152" t="n">
        <f aca="false">SUM(T47:AE47)</f>
        <v>0</v>
      </c>
      <c r="F47" s="152" t="n">
        <f aca="false">SUM(AF47:AQ47)</f>
        <v>0</v>
      </c>
      <c r="G47" s="79"/>
      <c r="H47" s="112" t="n">
        <f aca="false">'W TLI JV'!H24</f>
        <v>0</v>
      </c>
      <c r="I47" s="112" t="n">
        <f aca="false">'W TLI JV'!I24</f>
        <v>0</v>
      </c>
      <c r="J47" s="112" t="n">
        <f aca="false">'W TLI JV'!J24</f>
        <v>0</v>
      </c>
      <c r="K47" s="112" t="n">
        <f aca="false">'W TLI JV'!K24</f>
        <v>0</v>
      </c>
      <c r="L47" s="112" t="n">
        <f aca="false">'W TLI JV'!L24</f>
        <v>0</v>
      </c>
      <c r="M47" s="112" t="n">
        <f aca="false">'W TLI JV'!M24</f>
        <v>0</v>
      </c>
      <c r="N47" s="112" t="n">
        <f aca="false">'W TLI JV'!N24</f>
        <v>0</v>
      </c>
      <c r="O47" s="112" t="n">
        <f aca="false">'W TLI JV'!O24</f>
        <v>0</v>
      </c>
      <c r="P47" s="112" t="n">
        <f aca="false">'W TLI JV'!P24</f>
        <v>0</v>
      </c>
      <c r="Q47" s="112" t="n">
        <f aca="false">'W TLI JV'!Q24</f>
        <v>0</v>
      </c>
      <c r="R47" s="112" t="n">
        <f aca="false">'W TLI JV'!R24</f>
        <v>0</v>
      </c>
      <c r="S47" s="112" t="n">
        <f aca="false">'W TLI JV'!S24</f>
        <v>0</v>
      </c>
      <c r="T47" s="112" t="n">
        <f aca="false">'W TLI JV'!T24</f>
        <v>0</v>
      </c>
      <c r="U47" s="112" t="n">
        <f aca="false">'W TLI JV'!U24</f>
        <v>0</v>
      </c>
      <c r="V47" s="112" t="n">
        <f aca="false">'W TLI JV'!V24</f>
        <v>0</v>
      </c>
      <c r="W47" s="112" t="n">
        <f aca="false">'W TLI JV'!W24</f>
        <v>0</v>
      </c>
      <c r="X47" s="112" t="n">
        <f aca="false">'W TLI JV'!X24</f>
        <v>0</v>
      </c>
      <c r="Y47" s="112" t="n">
        <f aca="false">'W TLI JV'!Y24</f>
        <v>0</v>
      </c>
      <c r="Z47" s="112" t="n">
        <f aca="false">'W TLI JV'!Z24</f>
        <v>0</v>
      </c>
      <c r="AA47" s="112" t="n">
        <f aca="false">'W TLI JV'!AA24</f>
        <v>0</v>
      </c>
      <c r="AB47" s="112" t="n">
        <f aca="false">'W TLI JV'!AB24</f>
        <v>0</v>
      </c>
      <c r="AC47" s="112" t="n">
        <f aca="false">'W TLI JV'!AC24</f>
        <v>0</v>
      </c>
      <c r="AD47" s="112" t="n">
        <f aca="false">'W TLI JV'!AD24</f>
        <v>0</v>
      </c>
      <c r="AE47" s="112" t="n">
        <f aca="false">'W TLI JV'!AE24</f>
        <v>0</v>
      </c>
      <c r="AF47" s="112" t="n">
        <f aca="false">'W TLI JV'!AF24</f>
        <v>0</v>
      </c>
      <c r="AG47" s="112" t="n">
        <f aca="false">'W TLI JV'!AG24</f>
        <v>0</v>
      </c>
      <c r="AH47" s="112" t="n">
        <f aca="false">'W TLI JV'!AH24</f>
        <v>0</v>
      </c>
      <c r="AI47" s="112" t="n">
        <f aca="false">'W TLI JV'!AI24</f>
        <v>0</v>
      </c>
      <c r="AJ47" s="112" t="n">
        <f aca="false">'W TLI JV'!AJ24</f>
        <v>0</v>
      </c>
      <c r="AK47" s="112" t="n">
        <f aca="false">'W TLI JV'!AK24</f>
        <v>0</v>
      </c>
      <c r="AL47" s="112" t="n">
        <f aca="false">'W TLI JV'!AL24</f>
        <v>0</v>
      </c>
      <c r="AM47" s="112" t="n">
        <f aca="false">'W TLI JV'!AM24</f>
        <v>0</v>
      </c>
      <c r="AN47" s="112" t="n">
        <f aca="false">'W TLI JV'!AN24</f>
        <v>0</v>
      </c>
      <c r="AO47" s="112" t="n">
        <f aca="false">'W TLI JV'!AO24</f>
        <v>0</v>
      </c>
      <c r="AP47" s="112" t="n">
        <f aca="false">'W TLI JV'!AP24</f>
        <v>0</v>
      </c>
      <c r="AQ47" s="112" t="n">
        <f aca="false">'W TLI JV'!AQ24</f>
        <v>0</v>
      </c>
    </row>
    <row r="48" customFormat="false" ht="21" hidden="false" customHeight="true" outlineLevel="0" collapsed="false">
      <c r="C48" s="74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</row>
    <row r="49" customFormat="false" ht="21" hidden="false" customHeight="true" outlineLevel="0" collapsed="false">
      <c r="C49" s="96" t="s">
        <v>1166</v>
      </c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</row>
    <row r="50" customFormat="false" ht="21" hidden="false" customHeight="true" outlineLevel="0" collapsed="false">
      <c r="C50" s="96" t="s">
        <v>1167</v>
      </c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</row>
    <row r="51" customFormat="false" ht="21" hidden="false" customHeight="true" outlineLevel="0" collapsed="false">
      <c r="C51" s="74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</row>
    <row r="52" customFormat="false" ht="21" hidden="false" customHeight="true" outlineLevel="0" collapsed="false">
      <c r="C52" s="74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</row>
    <row r="53" customFormat="false" ht="21" hidden="false" customHeight="true" outlineLevel="0" collapsed="false">
      <c r="C53" s="74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  <c r="AO53" s="79"/>
      <c r="AP53" s="79"/>
      <c r="AQ53" s="79"/>
    </row>
    <row r="54" customFormat="false" ht="21" hidden="false" customHeight="true" outlineLevel="0" collapsed="false">
      <c r="C54" s="74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79"/>
      <c r="AP54" s="79"/>
      <c r="AQ54" s="79"/>
    </row>
    <row r="55" customFormat="false" ht="21" hidden="false" customHeight="true" outlineLevel="0" collapsed="false">
      <c r="C55" s="74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  <c r="AQ55" s="79"/>
    </row>
    <row r="56" customFormat="false" ht="21" hidden="false" customHeight="true" outlineLevel="0" collapsed="false">
      <c r="C56" s="74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</row>
    <row r="57" customFormat="false" ht="21" hidden="false" customHeight="true" outlineLevel="0" collapsed="false">
      <c r="C57" s="74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</row>
    <row r="58" customFormat="false" ht="21" hidden="false" customHeight="true" outlineLevel="0" collapsed="false">
      <c r="C58" s="74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</row>
    <row r="59" customFormat="false" ht="21" hidden="false" customHeight="true" outlineLevel="0" collapsed="false">
      <c r="C59" s="74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  <c r="AQ59" s="79"/>
    </row>
    <row r="60" customFormat="false" ht="21" hidden="false" customHeight="true" outlineLevel="0" collapsed="false">
      <c r="C60" s="74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8C1C6"/>
    <pageSetUpPr fitToPage="false"/>
  </sheetPr>
  <dimension ref="C1:AQ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3" min="3" style="0" width="48"/>
    <col collapsed="false" customWidth="true" hidden="false" outlineLevel="0" max="6" min="4" style="0" width="17"/>
    <col collapsed="false" customWidth="true" hidden="false" outlineLevel="0" max="7" min="7" style="0" width="3"/>
    <col collapsed="false" customWidth="true" hidden="false" outlineLevel="0" max="43" min="8" style="0" width="16"/>
  </cols>
  <sheetData>
    <row r="1" customFormat="false" ht="22.5" hidden="false" customHeight="true" outlineLevel="0" collapsed="false"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</row>
    <row r="2" customFormat="false" ht="22.5" hidden="false" customHeight="true" outlineLevel="0" collapsed="false">
      <c r="C2" s="169" t="s">
        <v>1168</v>
      </c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</row>
    <row r="3" customFormat="false" ht="22.5" hidden="false" customHeight="true" outlineLevel="0" collapsed="false"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68"/>
      <c r="AJ3" s="168"/>
      <c r="AK3" s="168"/>
      <c r="AL3" s="168"/>
      <c r="AM3" s="168"/>
      <c r="AN3" s="168"/>
      <c r="AO3" s="168"/>
      <c r="AP3" s="168"/>
      <c r="AQ3" s="168"/>
    </row>
    <row r="4" customFormat="false" ht="22.5" hidden="false" customHeight="true" outlineLevel="0" collapsed="false">
      <c r="C4" s="168" t="s">
        <v>580</v>
      </c>
      <c r="D4" s="170" t="str">
        <f aca="false">'W Assumptions'!D3</f>
        <v>Base</v>
      </c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</row>
    <row r="5" customFormat="false" ht="22.5" hidden="false" customHeight="true" outlineLevel="0" collapsed="false"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  <c r="AP5" s="168"/>
      <c r="AQ5" s="168"/>
    </row>
    <row r="6" customFormat="false" ht="39.75" hidden="false" customHeight="true" outlineLevel="0" collapsed="false">
      <c r="C6" s="97" t="s">
        <v>761</v>
      </c>
      <c r="D6" s="97" t="s">
        <v>715</v>
      </c>
      <c r="E6" s="97" t="s">
        <v>716</v>
      </c>
      <c r="F6" s="97" t="s">
        <v>717</v>
      </c>
      <c r="G6" s="168"/>
      <c r="H6" s="171" t="n">
        <f aca="false">'W Financial Model'!H6</f>
        <v>46266</v>
      </c>
      <c r="I6" s="171" t="n">
        <f aca="false">'W Financial Model'!I6</f>
        <v>46296</v>
      </c>
      <c r="J6" s="171" t="n">
        <f aca="false">'W Financial Model'!J6</f>
        <v>46327</v>
      </c>
      <c r="K6" s="171" t="n">
        <f aca="false">'W Financial Model'!K6</f>
        <v>46357</v>
      </c>
      <c r="L6" s="171" t="n">
        <f aca="false">'W Financial Model'!L6</f>
        <v>46388</v>
      </c>
      <c r="M6" s="171" t="n">
        <f aca="false">'W Financial Model'!M6</f>
        <v>46419</v>
      </c>
      <c r="N6" s="171" t="n">
        <f aca="false">'W Financial Model'!N6</f>
        <v>46447</v>
      </c>
      <c r="O6" s="171" t="n">
        <f aca="false">'W Financial Model'!O6</f>
        <v>46478</v>
      </c>
      <c r="P6" s="171" t="n">
        <f aca="false">'W Financial Model'!P6</f>
        <v>46508</v>
      </c>
      <c r="Q6" s="171" t="n">
        <f aca="false">'W Financial Model'!Q6</f>
        <v>46539</v>
      </c>
      <c r="R6" s="171" t="n">
        <f aca="false">'W Financial Model'!R6</f>
        <v>46569</v>
      </c>
      <c r="S6" s="171" t="n">
        <f aca="false">'W Financial Model'!S6</f>
        <v>46600</v>
      </c>
      <c r="T6" s="171" t="n">
        <f aca="false">'W Financial Model'!T6</f>
        <v>46631</v>
      </c>
      <c r="U6" s="171" t="n">
        <f aca="false">'W Financial Model'!U6</f>
        <v>46661</v>
      </c>
      <c r="V6" s="171" t="n">
        <f aca="false">'W Financial Model'!V6</f>
        <v>46692</v>
      </c>
      <c r="W6" s="171" t="n">
        <f aca="false">'W Financial Model'!W6</f>
        <v>46722</v>
      </c>
      <c r="X6" s="171" t="n">
        <f aca="false">'W Financial Model'!X6</f>
        <v>46753</v>
      </c>
      <c r="Y6" s="171" t="n">
        <f aca="false">'W Financial Model'!Y6</f>
        <v>46784</v>
      </c>
      <c r="Z6" s="171" t="n">
        <f aca="false">'W Financial Model'!Z6</f>
        <v>46813</v>
      </c>
      <c r="AA6" s="171" t="n">
        <f aca="false">'W Financial Model'!AA6</f>
        <v>46844</v>
      </c>
      <c r="AB6" s="171" t="n">
        <f aca="false">'W Financial Model'!AB6</f>
        <v>46874</v>
      </c>
      <c r="AC6" s="171" t="n">
        <f aca="false">'W Financial Model'!AC6</f>
        <v>46905</v>
      </c>
      <c r="AD6" s="171" t="n">
        <f aca="false">'W Financial Model'!AD6</f>
        <v>46935</v>
      </c>
      <c r="AE6" s="171" t="n">
        <f aca="false">'W Financial Model'!AE6</f>
        <v>46966</v>
      </c>
      <c r="AF6" s="171" t="n">
        <f aca="false">'W Financial Model'!AF6</f>
        <v>46997</v>
      </c>
      <c r="AG6" s="171" t="n">
        <f aca="false">'W Financial Model'!AG6</f>
        <v>47027</v>
      </c>
      <c r="AH6" s="171" t="n">
        <f aca="false">'W Financial Model'!AH6</f>
        <v>47058</v>
      </c>
      <c r="AI6" s="171" t="n">
        <f aca="false">'W Financial Model'!AI6</f>
        <v>47088</v>
      </c>
      <c r="AJ6" s="171" t="n">
        <f aca="false">'W Financial Model'!AJ6</f>
        <v>47119</v>
      </c>
      <c r="AK6" s="171" t="n">
        <f aca="false">'W Financial Model'!AK6</f>
        <v>47150</v>
      </c>
      <c r="AL6" s="171" t="n">
        <f aca="false">'W Financial Model'!AL6</f>
        <v>47178</v>
      </c>
      <c r="AM6" s="171" t="n">
        <f aca="false">'W Financial Model'!AM6</f>
        <v>47209</v>
      </c>
      <c r="AN6" s="171" t="n">
        <f aca="false">'W Financial Model'!AN6</f>
        <v>47239</v>
      </c>
      <c r="AO6" s="171" t="n">
        <f aca="false">'W Financial Model'!AO6</f>
        <v>47270</v>
      </c>
      <c r="AP6" s="171" t="n">
        <f aca="false">'W Financial Model'!AP6</f>
        <v>47300</v>
      </c>
      <c r="AQ6" s="171" t="n">
        <f aca="false">'W Financial Model'!AQ6</f>
        <v>47331</v>
      </c>
    </row>
    <row r="7" customFormat="false" ht="22.5" hidden="false" customHeight="true" outlineLevel="0" collapsed="false">
      <c r="C7" s="168" t="s">
        <v>1169</v>
      </c>
      <c r="D7" s="153" t="n">
        <f aca="false">SUM(H7:S7)</f>
        <v>874300</v>
      </c>
      <c r="E7" s="153" t="n">
        <f aca="false">SUM(T7:AE7)</f>
        <v>2902000</v>
      </c>
      <c r="F7" s="153" t="n">
        <f aca="false">SUM(AF7:AQ7)</f>
        <v>6759000</v>
      </c>
      <c r="G7" s="172"/>
      <c r="H7" s="163" t="n">
        <f aca="false">'W Financial Model'!H8</f>
        <v>0</v>
      </c>
      <c r="I7" s="163" t="n">
        <f aca="false">'W Financial Model'!I8</f>
        <v>23007.8947368421</v>
      </c>
      <c r="J7" s="163" t="n">
        <f aca="false">'W Financial Model'!J8</f>
        <v>46015.7894736842</v>
      </c>
      <c r="K7" s="163" t="n">
        <f aca="false">'W Financial Model'!K8</f>
        <v>69023.6842105263</v>
      </c>
      <c r="L7" s="163" t="n">
        <f aca="false">'W Financial Model'!L8</f>
        <v>92031.5789473684</v>
      </c>
      <c r="M7" s="163" t="n">
        <f aca="false">'W Financial Model'!M8</f>
        <v>92031.5789473684</v>
      </c>
      <c r="N7" s="163" t="n">
        <f aca="false">'W Financial Model'!N8</f>
        <v>92031.5789473684</v>
      </c>
      <c r="O7" s="163" t="n">
        <f aca="false">'W Financial Model'!O8</f>
        <v>92031.5789473684</v>
      </c>
      <c r="P7" s="163" t="n">
        <f aca="false">'W Financial Model'!P8</f>
        <v>92031.5789473684</v>
      </c>
      <c r="Q7" s="163" t="n">
        <f aca="false">'W Financial Model'!Q8</f>
        <v>92031.5789473684</v>
      </c>
      <c r="R7" s="163" t="n">
        <f aca="false">'W Financial Model'!R8</f>
        <v>92031.5789473684</v>
      </c>
      <c r="S7" s="163" t="n">
        <f aca="false">'W Financial Model'!S8</f>
        <v>92031.5789473684</v>
      </c>
      <c r="T7" s="163" t="n">
        <f aca="false">'W Financial Model'!T8</f>
        <v>241833.333333333</v>
      </c>
      <c r="U7" s="163" t="n">
        <f aca="false">'W Financial Model'!U8</f>
        <v>241833.333333333</v>
      </c>
      <c r="V7" s="163" t="n">
        <f aca="false">'W Financial Model'!V8</f>
        <v>241833.333333333</v>
      </c>
      <c r="W7" s="163" t="n">
        <f aca="false">'W Financial Model'!W8</f>
        <v>241833.333333333</v>
      </c>
      <c r="X7" s="163" t="n">
        <f aca="false">'W Financial Model'!X8</f>
        <v>241833.333333333</v>
      </c>
      <c r="Y7" s="163" t="n">
        <f aca="false">'W Financial Model'!Y8</f>
        <v>241833.333333333</v>
      </c>
      <c r="Z7" s="163" t="n">
        <f aca="false">'W Financial Model'!Z8</f>
        <v>241833.333333333</v>
      </c>
      <c r="AA7" s="163" t="n">
        <f aca="false">'W Financial Model'!AA8</f>
        <v>241833.333333333</v>
      </c>
      <c r="AB7" s="163" t="n">
        <f aca="false">'W Financial Model'!AB8</f>
        <v>241833.333333333</v>
      </c>
      <c r="AC7" s="163" t="n">
        <f aca="false">'W Financial Model'!AC8</f>
        <v>241833.333333333</v>
      </c>
      <c r="AD7" s="163" t="n">
        <f aca="false">'W Financial Model'!AD8</f>
        <v>241833.333333333</v>
      </c>
      <c r="AE7" s="163" t="n">
        <f aca="false">'W Financial Model'!AE8</f>
        <v>241833.333333333</v>
      </c>
      <c r="AF7" s="163" t="n">
        <f aca="false">'W Financial Model'!AF8</f>
        <v>563250</v>
      </c>
      <c r="AG7" s="163" t="n">
        <f aca="false">'W Financial Model'!AG8</f>
        <v>563250</v>
      </c>
      <c r="AH7" s="163" t="n">
        <f aca="false">'W Financial Model'!AH8</f>
        <v>563250</v>
      </c>
      <c r="AI7" s="163" t="n">
        <f aca="false">'W Financial Model'!AI8</f>
        <v>563250</v>
      </c>
      <c r="AJ7" s="163" t="n">
        <f aca="false">'W Financial Model'!AJ8</f>
        <v>563250</v>
      </c>
      <c r="AK7" s="163" t="n">
        <f aca="false">'W Financial Model'!AK8</f>
        <v>563250</v>
      </c>
      <c r="AL7" s="163" t="n">
        <f aca="false">'W Financial Model'!AL8</f>
        <v>563250</v>
      </c>
      <c r="AM7" s="163" t="n">
        <f aca="false">'W Financial Model'!AM8</f>
        <v>563250</v>
      </c>
      <c r="AN7" s="163" t="n">
        <f aca="false">'W Financial Model'!AN8</f>
        <v>563250</v>
      </c>
      <c r="AO7" s="163" t="n">
        <f aca="false">'W Financial Model'!AO8</f>
        <v>563250</v>
      </c>
      <c r="AP7" s="163" t="n">
        <f aca="false">'W Financial Model'!AP8</f>
        <v>563250</v>
      </c>
      <c r="AQ7" s="163" t="n">
        <f aca="false">'W Financial Model'!AQ8</f>
        <v>563250</v>
      </c>
    </row>
    <row r="8" customFormat="false" ht="22.5" hidden="false" customHeight="true" outlineLevel="0" collapsed="false">
      <c r="C8" s="168" t="s">
        <v>1170</v>
      </c>
      <c r="D8" s="153" t="n">
        <f aca="false">SUM(H8:S8)</f>
        <v>407645</v>
      </c>
      <c r="E8" s="153" t="n">
        <f aca="false">SUM(T8:AE8)</f>
        <v>1264200</v>
      </c>
      <c r="F8" s="153" t="n">
        <f aca="false">SUM(AF8:AQ8)</f>
        <v>2723490</v>
      </c>
      <c r="G8" s="172"/>
      <c r="H8" s="163" t="n">
        <f aca="false">'W Financial Model'!H22</f>
        <v>0</v>
      </c>
      <c r="I8" s="163" t="n">
        <f aca="false">'W Financial Model'!I22</f>
        <v>10727.5</v>
      </c>
      <c r="J8" s="163" t="n">
        <f aca="false">'W Financial Model'!J22</f>
        <v>21455</v>
      </c>
      <c r="K8" s="163" t="n">
        <f aca="false">'W Financial Model'!K22</f>
        <v>32182.5</v>
      </c>
      <c r="L8" s="163" t="n">
        <f aca="false">'W Financial Model'!L22</f>
        <v>42910</v>
      </c>
      <c r="M8" s="163" t="n">
        <f aca="false">'W Financial Model'!M22</f>
        <v>42910</v>
      </c>
      <c r="N8" s="163" t="n">
        <f aca="false">'W Financial Model'!N22</f>
        <v>42910</v>
      </c>
      <c r="O8" s="163" t="n">
        <f aca="false">'W Financial Model'!O22</f>
        <v>42910</v>
      </c>
      <c r="P8" s="163" t="n">
        <f aca="false">'W Financial Model'!P22</f>
        <v>42910</v>
      </c>
      <c r="Q8" s="163" t="n">
        <f aca="false">'W Financial Model'!Q22</f>
        <v>42910</v>
      </c>
      <c r="R8" s="163" t="n">
        <f aca="false">'W Financial Model'!R22</f>
        <v>42910</v>
      </c>
      <c r="S8" s="163" t="n">
        <f aca="false">'W Financial Model'!S22</f>
        <v>42910</v>
      </c>
      <c r="T8" s="163" t="n">
        <f aca="false">'W Financial Model'!T22</f>
        <v>105350</v>
      </c>
      <c r="U8" s="163" t="n">
        <f aca="false">'W Financial Model'!U22</f>
        <v>105350</v>
      </c>
      <c r="V8" s="163" t="n">
        <f aca="false">'W Financial Model'!V22</f>
        <v>105350</v>
      </c>
      <c r="W8" s="163" t="n">
        <f aca="false">'W Financial Model'!W22</f>
        <v>105350</v>
      </c>
      <c r="X8" s="163" t="n">
        <f aca="false">'W Financial Model'!X22</f>
        <v>105350</v>
      </c>
      <c r="Y8" s="163" t="n">
        <f aca="false">'W Financial Model'!Y22</f>
        <v>105350</v>
      </c>
      <c r="Z8" s="163" t="n">
        <f aca="false">'W Financial Model'!Z22</f>
        <v>105350</v>
      </c>
      <c r="AA8" s="163" t="n">
        <f aca="false">'W Financial Model'!AA22</f>
        <v>105350</v>
      </c>
      <c r="AB8" s="163" t="n">
        <f aca="false">'W Financial Model'!AB22</f>
        <v>105350</v>
      </c>
      <c r="AC8" s="163" t="n">
        <f aca="false">'W Financial Model'!AC22</f>
        <v>105350</v>
      </c>
      <c r="AD8" s="163" t="n">
        <f aca="false">'W Financial Model'!AD22</f>
        <v>105350</v>
      </c>
      <c r="AE8" s="163" t="n">
        <f aca="false">'W Financial Model'!AE22</f>
        <v>105350</v>
      </c>
      <c r="AF8" s="163" t="n">
        <f aca="false">'W Financial Model'!AF22</f>
        <v>226957.5</v>
      </c>
      <c r="AG8" s="163" t="n">
        <f aca="false">'W Financial Model'!AG22</f>
        <v>226957.5</v>
      </c>
      <c r="AH8" s="163" t="n">
        <f aca="false">'W Financial Model'!AH22</f>
        <v>226957.5</v>
      </c>
      <c r="AI8" s="163" t="n">
        <f aca="false">'W Financial Model'!AI22</f>
        <v>226957.5</v>
      </c>
      <c r="AJ8" s="163" t="n">
        <f aca="false">'W Financial Model'!AJ22</f>
        <v>226957.5</v>
      </c>
      <c r="AK8" s="163" t="n">
        <f aca="false">'W Financial Model'!AK22</f>
        <v>226957.5</v>
      </c>
      <c r="AL8" s="163" t="n">
        <f aca="false">'W Financial Model'!AL22</f>
        <v>226957.5</v>
      </c>
      <c r="AM8" s="163" t="n">
        <f aca="false">'W Financial Model'!AM22</f>
        <v>226957.5</v>
      </c>
      <c r="AN8" s="163" t="n">
        <f aca="false">'W Financial Model'!AN22</f>
        <v>226957.5</v>
      </c>
      <c r="AO8" s="163" t="n">
        <f aca="false">'W Financial Model'!AO22</f>
        <v>226957.5</v>
      </c>
      <c r="AP8" s="163" t="n">
        <f aca="false">'W Financial Model'!AP22</f>
        <v>226957.5</v>
      </c>
      <c r="AQ8" s="163" t="n">
        <f aca="false">'W Financial Model'!AQ22</f>
        <v>226957.5</v>
      </c>
    </row>
    <row r="9" customFormat="false" ht="22.5" hidden="false" customHeight="true" outlineLevel="0" collapsed="false">
      <c r="C9" s="168" t="s">
        <v>1171</v>
      </c>
      <c r="D9" s="153" t="n">
        <f aca="false">SUM(H9:S9)</f>
        <v>0</v>
      </c>
      <c r="E9" s="153" t="n">
        <f aca="false">SUM(T9:AE9)</f>
        <v>0</v>
      </c>
      <c r="F9" s="153" t="n">
        <f aca="false">SUM(AF9:AQ9)</f>
        <v>0</v>
      </c>
      <c r="G9" s="172"/>
      <c r="H9" s="163" t="n">
        <f aca="false">SUMIFS('W Program Monthly'!$J$6:$J$509,'W Program Monthly'!$C$6:$C$509,H$6,'W Program Monthly'!$E$6:$E$509,"TLI")</f>
        <v>0</v>
      </c>
      <c r="I9" s="163" t="n">
        <f aca="false">SUMIFS('W Program Monthly'!$J$6:$J$509,'W Program Monthly'!$C$6:$C$509,I$6,'W Program Monthly'!$E$6:$E$509,"TLI")</f>
        <v>0</v>
      </c>
      <c r="J9" s="163" t="n">
        <f aca="false">SUMIFS('W Program Monthly'!$J$6:$J$509,'W Program Monthly'!$C$6:$C$509,J$6,'W Program Monthly'!$E$6:$E$509,"TLI")</f>
        <v>0</v>
      </c>
      <c r="K9" s="163" t="n">
        <f aca="false">SUMIFS('W Program Monthly'!$J$6:$J$509,'W Program Monthly'!$C$6:$C$509,K$6,'W Program Monthly'!$E$6:$E$509,"TLI")</f>
        <v>0</v>
      </c>
      <c r="L9" s="163" t="n">
        <f aca="false">SUMIFS('W Program Monthly'!$J$6:$J$509,'W Program Monthly'!$C$6:$C$509,L$6,'W Program Monthly'!$E$6:$E$509,"TLI")</f>
        <v>0</v>
      </c>
      <c r="M9" s="163" t="n">
        <f aca="false">SUMIFS('W Program Monthly'!$J$6:$J$509,'W Program Monthly'!$C$6:$C$509,M$6,'W Program Monthly'!$E$6:$E$509,"TLI")</f>
        <v>0</v>
      </c>
      <c r="N9" s="163" t="n">
        <f aca="false">SUMIFS('W Program Monthly'!$J$6:$J$509,'W Program Monthly'!$C$6:$C$509,N$6,'W Program Monthly'!$E$6:$E$509,"TLI")</f>
        <v>0</v>
      </c>
      <c r="O9" s="163" t="n">
        <f aca="false">SUMIFS('W Program Monthly'!$J$6:$J$509,'W Program Monthly'!$C$6:$C$509,O$6,'W Program Monthly'!$E$6:$E$509,"TLI")</f>
        <v>0</v>
      </c>
      <c r="P9" s="163" t="n">
        <f aca="false">SUMIFS('W Program Monthly'!$J$6:$J$509,'W Program Monthly'!$C$6:$C$509,P$6,'W Program Monthly'!$E$6:$E$509,"TLI")</f>
        <v>0</v>
      </c>
      <c r="Q9" s="163" t="n">
        <f aca="false">SUMIFS('W Program Monthly'!$J$6:$J$509,'W Program Monthly'!$C$6:$C$509,Q$6,'W Program Monthly'!$E$6:$E$509,"TLI")</f>
        <v>0</v>
      </c>
      <c r="R9" s="163" t="n">
        <f aca="false">SUMIFS('W Program Monthly'!$J$6:$J$509,'W Program Monthly'!$C$6:$C$509,R$6,'W Program Monthly'!$E$6:$E$509,"TLI")</f>
        <v>0</v>
      </c>
      <c r="S9" s="163" t="n">
        <f aca="false">SUMIFS('W Program Monthly'!$J$6:$J$509,'W Program Monthly'!$C$6:$C$509,S$6,'W Program Monthly'!$E$6:$E$509,"TLI")</f>
        <v>0</v>
      </c>
      <c r="T9" s="163" t="n">
        <f aca="false">SUMIFS('W Program Monthly'!$J$6:$J$509,'W Program Monthly'!$C$6:$C$509,T$6,'W Program Monthly'!$E$6:$E$509,"TLI")</f>
        <v>0</v>
      </c>
      <c r="U9" s="163" t="n">
        <f aca="false">SUMIFS('W Program Monthly'!$J$6:$J$509,'W Program Monthly'!$C$6:$C$509,U$6,'W Program Monthly'!$E$6:$E$509,"TLI")</f>
        <v>0</v>
      </c>
      <c r="V9" s="163" t="n">
        <f aca="false">SUMIFS('W Program Monthly'!$J$6:$J$509,'W Program Monthly'!$C$6:$C$509,V$6,'W Program Monthly'!$E$6:$E$509,"TLI")</f>
        <v>0</v>
      </c>
      <c r="W9" s="163" t="n">
        <f aca="false">SUMIFS('W Program Monthly'!$J$6:$J$509,'W Program Monthly'!$C$6:$C$509,W$6,'W Program Monthly'!$E$6:$E$509,"TLI")</f>
        <v>0</v>
      </c>
      <c r="X9" s="163" t="n">
        <f aca="false">SUMIFS('W Program Monthly'!$J$6:$J$509,'W Program Monthly'!$C$6:$C$509,X$6,'W Program Monthly'!$E$6:$E$509,"TLI")</f>
        <v>0</v>
      </c>
      <c r="Y9" s="163" t="n">
        <f aca="false">SUMIFS('W Program Monthly'!$J$6:$J$509,'W Program Monthly'!$C$6:$C$509,Y$6,'W Program Monthly'!$E$6:$E$509,"TLI")</f>
        <v>0</v>
      </c>
      <c r="Z9" s="163" t="n">
        <f aca="false">SUMIFS('W Program Monthly'!$J$6:$J$509,'W Program Monthly'!$C$6:$C$509,Z$6,'W Program Monthly'!$E$6:$E$509,"TLI")</f>
        <v>0</v>
      </c>
      <c r="AA9" s="163" t="n">
        <f aca="false">SUMIFS('W Program Monthly'!$J$6:$J$509,'W Program Monthly'!$C$6:$C$509,AA$6,'W Program Monthly'!$E$6:$E$509,"TLI")</f>
        <v>0</v>
      </c>
      <c r="AB9" s="163" t="n">
        <f aca="false">SUMIFS('W Program Monthly'!$J$6:$J$509,'W Program Monthly'!$C$6:$C$509,AB$6,'W Program Monthly'!$E$6:$E$509,"TLI")</f>
        <v>0</v>
      </c>
      <c r="AC9" s="163" t="n">
        <f aca="false">SUMIFS('W Program Monthly'!$J$6:$J$509,'W Program Monthly'!$C$6:$C$509,AC$6,'W Program Monthly'!$E$6:$E$509,"TLI")</f>
        <v>0</v>
      </c>
      <c r="AD9" s="163" t="n">
        <f aca="false">SUMIFS('W Program Monthly'!$J$6:$J$509,'W Program Monthly'!$C$6:$C$509,AD$6,'W Program Monthly'!$E$6:$E$509,"TLI")</f>
        <v>0</v>
      </c>
      <c r="AE9" s="163" t="n">
        <f aca="false">SUMIFS('W Program Monthly'!$J$6:$J$509,'W Program Monthly'!$C$6:$C$509,AE$6,'W Program Monthly'!$E$6:$E$509,"TLI")</f>
        <v>0</v>
      </c>
      <c r="AF9" s="163" t="n">
        <f aca="false">SUMIFS('W Program Monthly'!$J$6:$J$509,'W Program Monthly'!$C$6:$C$509,AF$6,'W Program Monthly'!$E$6:$E$509,"TLI")</f>
        <v>0</v>
      </c>
      <c r="AG9" s="163" t="n">
        <f aca="false">SUMIFS('W Program Monthly'!$J$6:$J$509,'W Program Monthly'!$C$6:$C$509,AG$6,'W Program Monthly'!$E$6:$E$509,"TLI")</f>
        <v>0</v>
      </c>
      <c r="AH9" s="163" t="n">
        <f aca="false">SUMIFS('W Program Monthly'!$J$6:$J$509,'W Program Monthly'!$C$6:$C$509,AH$6,'W Program Monthly'!$E$6:$E$509,"TLI")</f>
        <v>0</v>
      </c>
      <c r="AI9" s="163" t="n">
        <f aca="false">SUMIFS('W Program Monthly'!$J$6:$J$509,'W Program Monthly'!$C$6:$C$509,AI$6,'W Program Monthly'!$E$6:$E$509,"TLI")</f>
        <v>0</v>
      </c>
      <c r="AJ9" s="163" t="n">
        <f aca="false">SUMIFS('W Program Monthly'!$J$6:$J$509,'W Program Monthly'!$C$6:$C$509,AJ$6,'W Program Monthly'!$E$6:$E$509,"TLI")</f>
        <v>0</v>
      </c>
      <c r="AK9" s="163" t="n">
        <f aca="false">SUMIFS('W Program Monthly'!$J$6:$J$509,'W Program Monthly'!$C$6:$C$509,AK$6,'W Program Monthly'!$E$6:$E$509,"TLI")</f>
        <v>0</v>
      </c>
      <c r="AL9" s="163" t="n">
        <f aca="false">SUMIFS('W Program Monthly'!$J$6:$J$509,'W Program Monthly'!$C$6:$C$509,AL$6,'W Program Monthly'!$E$6:$E$509,"TLI")</f>
        <v>0</v>
      </c>
      <c r="AM9" s="163" t="n">
        <f aca="false">SUMIFS('W Program Monthly'!$J$6:$J$509,'W Program Monthly'!$C$6:$C$509,AM$6,'W Program Monthly'!$E$6:$E$509,"TLI")</f>
        <v>0</v>
      </c>
      <c r="AN9" s="163" t="n">
        <f aca="false">SUMIFS('W Program Monthly'!$J$6:$J$509,'W Program Monthly'!$C$6:$C$509,AN$6,'W Program Monthly'!$E$6:$E$509,"TLI")</f>
        <v>0</v>
      </c>
      <c r="AO9" s="163" t="n">
        <f aca="false">SUMIFS('W Program Monthly'!$J$6:$J$509,'W Program Monthly'!$C$6:$C$509,AO$6,'W Program Monthly'!$E$6:$E$509,"TLI")</f>
        <v>0</v>
      </c>
      <c r="AP9" s="163" t="n">
        <f aca="false">SUMIFS('W Program Monthly'!$J$6:$J$509,'W Program Monthly'!$C$6:$C$509,AP$6,'W Program Monthly'!$E$6:$E$509,"TLI")</f>
        <v>0</v>
      </c>
      <c r="AQ9" s="163" t="n">
        <f aca="false">SUMIFS('W Program Monthly'!$J$6:$J$509,'W Program Monthly'!$C$6:$C$509,AQ$6,'W Program Monthly'!$E$6:$E$509,"TLI")</f>
        <v>0</v>
      </c>
    </row>
    <row r="10" customFormat="false" ht="22.5" hidden="false" customHeight="true" outlineLevel="0" collapsed="false">
      <c r="C10" s="168" t="s">
        <v>1172</v>
      </c>
      <c r="D10" s="153" t="n">
        <f aca="false">SUM(H10:S10)</f>
        <v>88000</v>
      </c>
      <c r="E10" s="153" t="n">
        <f aca="false">SUM(T10:AE10)</f>
        <v>99840</v>
      </c>
      <c r="F10" s="153" t="n">
        <f aca="false">SUM(AF10:AQ10)</f>
        <v>103833.6</v>
      </c>
      <c r="G10" s="172"/>
      <c r="H10" s="163" t="n">
        <f aca="false">'W Financial Model'!H25</f>
        <v>0</v>
      </c>
      <c r="I10" s="163" t="n">
        <f aca="false">'W Financial Model'!I25</f>
        <v>8000</v>
      </c>
      <c r="J10" s="163" t="n">
        <f aca="false">'W Financial Model'!J25</f>
        <v>8000</v>
      </c>
      <c r="K10" s="163" t="n">
        <f aca="false">'W Financial Model'!K25</f>
        <v>8000</v>
      </c>
      <c r="L10" s="163" t="n">
        <f aca="false">'W Financial Model'!L25</f>
        <v>8000</v>
      </c>
      <c r="M10" s="163" t="n">
        <f aca="false">'W Financial Model'!M25</f>
        <v>8000</v>
      </c>
      <c r="N10" s="163" t="n">
        <f aca="false">'W Financial Model'!N25</f>
        <v>8000</v>
      </c>
      <c r="O10" s="163" t="n">
        <f aca="false">'W Financial Model'!O25</f>
        <v>8000</v>
      </c>
      <c r="P10" s="163" t="n">
        <f aca="false">'W Financial Model'!P25</f>
        <v>8000</v>
      </c>
      <c r="Q10" s="163" t="n">
        <f aca="false">'W Financial Model'!Q25</f>
        <v>8000</v>
      </c>
      <c r="R10" s="163" t="n">
        <f aca="false">'W Financial Model'!R25</f>
        <v>8000</v>
      </c>
      <c r="S10" s="163" t="n">
        <f aca="false">'W Financial Model'!S25</f>
        <v>8000</v>
      </c>
      <c r="T10" s="163" t="n">
        <f aca="false">'W Financial Model'!T25</f>
        <v>8320</v>
      </c>
      <c r="U10" s="163" t="n">
        <f aca="false">'W Financial Model'!U25</f>
        <v>8320</v>
      </c>
      <c r="V10" s="163" t="n">
        <f aca="false">'W Financial Model'!V25</f>
        <v>8320</v>
      </c>
      <c r="W10" s="163" t="n">
        <f aca="false">'W Financial Model'!W25</f>
        <v>8320</v>
      </c>
      <c r="X10" s="163" t="n">
        <f aca="false">'W Financial Model'!X25</f>
        <v>8320</v>
      </c>
      <c r="Y10" s="163" t="n">
        <f aca="false">'W Financial Model'!Y25</f>
        <v>8320</v>
      </c>
      <c r="Z10" s="163" t="n">
        <f aca="false">'W Financial Model'!Z25</f>
        <v>8320</v>
      </c>
      <c r="AA10" s="163" t="n">
        <f aca="false">'W Financial Model'!AA25</f>
        <v>8320</v>
      </c>
      <c r="AB10" s="163" t="n">
        <f aca="false">'W Financial Model'!AB25</f>
        <v>8320</v>
      </c>
      <c r="AC10" s="163" t="n">
        <f aca="false">'W Financial Model'!AC25</f>
        <v>8320</v>
      </c>
      <c r="AD10" s="163" t="n">
        <f aca="false">'W Financial Model'!AD25</f>
        <v>8320</v>
      </c>
      <c r="AE10" s="163" t="n">
        <f aca="false">'W Financial Model'!AE25</f>
        <v>8320</v>
      </c>
      <c r="AF10" s="163" t="n">
        <f aca="false">'W Financial Model'!AF25</f>
        <v>8652.8</v>
      </c>
      <c r="AG10" s="163" t="n">
        <f aca="false">'W Financial Model'!AG25</f>
        <v>8652.8</v>
      </c>
      <c r="AH10" s="163" t="n">
        <f aca="false">'W Financial Model'!AH25</f>
        <v>8652.8</v>
      </c>
      <c r="AI10" s="163" t="n">
        <f aca="false">'W Financial Model'!AI25</f>
        <v>8652.8</v>
      </c>
      <c r="AJ10" s="163" t="n">
        <f aca="false">'W Financial Model'!AJ25</f>
        <v>8652.8</v>
      </c>
      <c r="AK10" s="163" t="n">
        <f aca="false">'W Financial Model'!AK25</f>
        <v>8652.8</v>
      </c>
      <c r="AL10" s="163" t="n">
        <f aca="false">'W Financial Model'!AL25</f>
        <v>8652.8</v>
      </c>
      <c r="AM10" s="163" t="n">
        <f aca="false">'W Financial Model'!AM25</f>
        <v>8652.8</v>
      </c>
      <c r="AN10" s="163" t="n">
        <f aca="false">'W Financial Model'!AN25</f>
        <v>8652.8</v>
      </c>
      <c r="AO10" s="163" t="n">
        <f aca="false">'W Financial Model'!AO25</f>
        <v>8652.8</v>
      </c>
      <c r="AP10" s="163" t="n">
        <f aca="false">'W Financial Model'!AP25</f>
        <v>8652.8</v>
      </c>
      <c r="AQ10" s="163" t="n">
        <f aca="false">'W Financial Model'!AQ25</f>
        <v>8652.8</v>
      </c>
    </row>
    <row r="11" customFormat="false" ht="22.5" hidden="false" customHeight="true" outlineLevel="0" collapsed="false">
      <c r="C11" s="168" t="s">
        <v>1173</v>
      </c>
      <c r="D11" s="153" t="n">
        <f aca="false">SUM(H11:S11)</f>
        <v>80000</v>
      </c>
      <c r="E11" s="153" t="n">
        <f aca="false">SUM(T11:AE11)</f>
        <v>0</v>
      </c>
      <c r="F11" s="153" t="n">
        <f aca="false">SUM(AF11:AQ11)</f>
        <v>0</v>
      </c>
      <c r="G11" s="172"/>
      <c r="H11" s="163" t="n">
        <f aca="false">'W Financial Model'!H28</f>
        <v>0</v>
      </c>
      <c r="I11" s="163" t="n">
        <f aca="false">'W Financial Model'!I28</f>
        <v>80000</v>
      </c>
      <c r="J11" s="163" t="n">
        <f aca="false">'W Financial Model'!J28</f>
        <v>0</v>
      </c>
      <c r="K11" s="163" t="n">
        <f aca="false">'W Financial Model'!K28</f>
        <v>0</v>
      </c>
      <c r="L11" s="163" t="n">
        <f aca="false">'W Financial Model'!L28</f>
        <v>0</v>
      </c>
      <c r="M11" s="163" t="n">
        <f aca="false">'W Financial Model'!M28</f>
        <v>0</v>
      </c>
      <c r="N11" s="163" t="n">
        <f aca="false">'W Financial Model'!N28</f>
        <v>0</v>
      </c>
      <c r="O11" s="163" t="n">
        <f aca="false">'W Financial Model'!O28</f>
        <v>0</v>
      </c>
      <c r="P11" s="163" t="n">
        <f aca="false">'W Financial Model'!P28</f>
        <v>0</v>
      </c>
      <c r="Q11" s="163" t="n">
        <f aca="false">'W Financial Model'!Q28</f>
        <v>0</v>
      </c>
      <c r="R11" s="163" t="n">
        <f aca="false">'W Financial Model'!R28</f>
        <v>0</v>
      </c>
      <c r="S11" s="163" t="n">
        <f aca="false">'W Financial Model'!S28</f>
        <v>0</v>
      </c>
      <c r="T11" s="163" t="n">
        <f aca="false">'W Financial Model'!T28</f>
        <v>0</v>
      </c>
      <c r="U11" s="163" t="n">
        <f aca="false">'W Financial Model'!U28</f>
        <v>0</v>
      </c>
      <c r="V11" s="163" t="n">
        <f aca="false">'W Financial Model'!V28</f>
        <v>0</v>
      </c>
      <c r="W11" s="163" t="n">
        <f aca="false">'W Financial Model'!W28</f>
        <v>0</v>
      </c>
      <c r="X11" s="163" t="n">
        <f aca="false">'W Financial Model'!X28</f>
        <v>0</v>
      </c>
      <c r="Y11" s="163" t="n">
        <f aca="false">'W Financial Model'!Y28</f>
        <v>0</v>
      </c>
      <c r="Z11" s="163" t="n">
        <f aca="false">'W Financial Model'!Z28</f>
        <v>0</v>
      </c>
      <c r="AA11" s="163" t="n">
        <f aca="false">'W Financial Model'!AA28</f>
        <v>0</v>
      </c>
      <c r="AB11" s="163" t="n">
        <f aca="false">'W Financial Model'!AB28</f>
        <v>0</v>
      </c>
      <c r="AC11" s="163" t="n">
        <f aca="false">'W Financial Model'!AC28</f>
        <v>0</v>
      </c>
      <c r="AD11" s="163" t="n">
        <f aca="false">'W Financial Model'!AD28</f>
        <v>0</v>
      </c>
      <c r="AE11" s="163" t="n">
        <f aca="false">'W Financial Model'!AE28</f>
        <v>0</v>
      </c>
      <c r="AF11" s="163" t="n">
        <f aca="false">'W Financial Model'!AF28</f>
        <v>0</v>
      </c>
      <c r="AG11" s="163" t="n">
        <f aca="false">'W Financial Model'!AG28</f>
        <v>0</v>
      </c>
      <c r="AH11" s="163" t="n">
        <f aca="false">'W Financial Model'!AH28</f>
        <v>0</v>
      </c>
      <c r="AI11" s="163" t="n">
        <f aca="false">'W Financial Model'!AI28</f>
        <v>0</v>
      </c>
      <c r="AJ11" s="163" t="n">
        <f aca="false">'W Financial Model'!AJ28</f>
        <v>0</v>
      </c>
      <c r="AK11" s="163" t="n">
        <f aca="false">'W Financial Model'!AK28</f>
        <v>0</v>
      </c>
      <c r="AL11" s="163" t="n">
        <f aca="false">'W Financial Model'!AL28</f>
        <v>0</v>
      </c>
      <c r="AM11" s="163" t="n">
        <f aca="false">'W Financial Model'!AM28</f>
        <v>0</v>
      </c>
      <c r="AN11" s="163" t="n">
        <f aca="false">'W Financial Model'!AN28</f>
        <v>0</v>
      </c>
      <c r="AO11" s="163" t="n">
        <f aca="false">'W Financial Model'!AO28</f>
        <v>0</v>
      </c>
      <c r="AP11" s="163" t="n">
        <f aca="false">'W Financial Model'!AP28</f>
        <v>0</v>
      </c>
      <c r="AQ11" s="163" t="n">
        <f aca="false">'W Financial Model'!AQ28</f>
        <v>0</v>
      </c>
    </row>
    <row r="12" customFormat="false" ht="22.5" hidden="false" customHeight="true" outlineLevel="0" collapsed="false">
      <c r="C12" s="168" t="s">
        <v>1174</v>
      </c>
      <c r="D12" s="153" t="n">
        <f aca="false">SUM(H12:S12)</f>
        <v>23870</v>
      </c>
      <c r="E12" s="153" t="n">
        <f aca="false">SUM(T12:AE12)</f>
        <v>26040</v>
      </c>
      <c r="F12" s="153" t="n">
        <f aca="false">SUM(AF12:AQ12)</f>
        <v>26040</v>
      </c>
      <c r="G12" s="172"/>
      <c r="H12" s="163" t="n">
        <f aca="false">'W Fees &amp; KPI'!L6</f>
        <v>0</v>
      </c>
      <c r="I12" s="163" t="n">
        <f aca="false">'W Fees &amp; KPI'!L7</f>
        <v>2170</v>
      </c>
      <c r="J12" s="163" t="n">
        <f aca="false">'W Fees &amp; KPI'!L8</f>
        <v>2170</v>
      </c>
      <c r="K12" s="163" t="n">
        <f aca="false">'W Fees &amp; KPI'!L9</f>
        <v>2170</v>
      </c>
      <c r="L12" s="163" t="n">
        <f aca="false">'W Fees &amp; KPI'!L10</f>
        <v>2170</v>
      </c>
      <c r="M12" s="163" t="n">
        <f aca="false">'W Fees &amp; KPI'!L11</f>
        <v>2170</v>
      </c>
      <c r="N12" s="163" t="n">
        <f aca="false">'W Fees &amp; KPI'!L12</f>
        <v>2170</v>
      </c>
      <c r="O12" s="163" t="n">
        <f aca="false">'W Fees &amp; KPI'!L13</f>
        <v>2170</v>
      </c>
      <c r="P12" s="163" t="n">
        <f aca="false">'W Fees &amp; KPI'!L14</f>
        <v>2170</v>
      </c>
      <c r="Q12" s="163" t="n">
        <f aca="false">'W Fees &amp; KPI'!L15</f>
        <v>2170</v>
      </c>
      <c r="R12" s="163" t="n">
        <f aca="false">'W Fees &amp; KPI'!L16</f>
        <v>2170</v>
      </c>
      <c r="S12" s="163" t="n">
        <f aca="false">'W Fees &amp; KPI'!L17</f>
        <v>2170</v>
      </c>
      <c r="T12" s="163" t="n">
        <f aca="false">'W Fees &amp; KPI'!L18</f>
        <v>2170</v>
      </c>
      <c r="U12" s="163" t="n">
        <f aca="false">'W Fees &amp; KPI'!L19</f>
        <v>2170</v>
      </c>
      <c r="V12" s="163" t="n">
        <f aca="false">'W Fees &amp; KPI'!L20</f>
        <v>2170</v>
      </c>
      <c r="W12" s="163" t="n">
        <f aca="false">'W Fees &amp; KPI'!L21</f>
        <v>2170</v>
      </c>
      <c r="X12" s="163" t="n">
        <f aca="false">'W Fees &amp; KPI'!L22</f>
        <v>2170</v>
      </c>
      <c r="Y12" s="163" t="n">
        <f aca="false">'W Fees &amp; KPI'!L23</f>
        <v>2170</v>
      </c>
      <c r="Z12" s="163" t="n">
        <f aca="false">'W Fees &amp; KPI'!L24</f>
        <v>2170</v>
      </c>
      <c r="AA12" s="163" t="n">
        <f aca="false">'W Fees &amp; KPI'!L25</f>
        <v>2170</v>
      </c>
      <c r="AB12" s="163" t="n">
        <f aca="false">'W Fees &amp; KPI'!L26</f>
        <v>2170</v>
      </c>
      <c r="AC12" s="163" t="n">
        <f aca="false">'W Fees &amp; KPI'!L27</f>
        <v>2170</v>
      </c>
      <c r="AD12" s="163" t="n">
        <f aca="false">'W Fees &amp; KPI'!L28</f>
        <v>2170</v>
      </c>
      <c r="AE12" s="163" t="n">
        <f aca="false">'W Fees &amp; KPI'!L29</f>
        <v>2170</v>
      </c>
      <c r="AF12" s="163" t="n">
        <f aca="false">'W Fees &amp; KPI'!L30</f>
        <v>2170</v>
      </c>
      <c r="AG12" s="163" t="n">
        <f aca="false">'W Fees &amp; KPI'!L31</f>
        <v>2170</v>
      </c>
      <c r="AH12" s="163" t="n">
        <f aca="false">'W Fees &amp; KPI'!L32</f>
        <v>2170</v>
      </c>
      <c r="AI12" s="163" t="n">
        <f aca="false">'W Fees &amp; KPI'!L33</f>
        <v>2170</v>
      </c>
      <c r="AJ12" s="163" t="n">
        <f aca="false">'W Fees &amp; KPI'!L34</f>
        <v>2170</v>
      </c>
      <c r="AK12" s="163" t="n">
        <f aca="false">'W Fees &amp; KPI'!L35</f>
        <v>2170</v>
      </c>
      <c r="AL12" s="163" t="n">
        <f aca="false">'W Fees &amp; KPI'!L36</f>
        <v>2170</v>
      </c>
      <c r="AM12" s="163" t="n">
        <f aca="false">'W Fees &amp; KPI'!L37</f>
        <v>2170</v>
      </c>
      <c r="AN12" s="163" t="n">
        <f aca="false">'W Fees &amp; KPI'!L38</f>
        <v>2170</v>
      </c>
      <c r="AO12" s="163" t="n">
        <f aca="false">'W Fees &amp; KPI'!L39</f>
        <v>2170</v>
      </c>
      <c r="AP12" s="163" t="n">
        <f aca="false">'W Fees &amp; KPI'!L40</f>
        <v>2170</v>
      </c>
      <c r="AQ12" s="163" t="n">
        <f aca="false">'W Fees &amp; KPI'!L41</f>
        <v>2170</v>
      </c>
    </row>
    <row r="13" customFormat="false" ht="22.5" hidden="false" customHeight="true" outlineLevel="0" collapsed="false">
      <c r="C13" s="173" t="s">
        <v>1175</v>
      </c>
      <c r="D13" s="174" t="n">
        <f aca="false">SUM(H13:S13)</f>
        <v>599515</v>
      </c>
      <c r="E13" s="174" t="n">
        <f aca="false">SUM(T13:AE13)</f>
        <v>1390080</v>
      </c>
      <c r="F13" s="174" t="n">
        <f aca="false">SUM(AF13:AQ13)</f>
        <v>2853363.6</v>
      </c>
      <c r="G13" s="172"/>
      <c r="H13" s="163" t="n">
        <f aca="false">SUM(H8:H12)</f>
        <v>0</v>
      </c>
      <c r="I13" s="163" t="n">
        <f aca="false">SUM(I8:I12)</f>
        <v>100897.5</v>
      </c>
      <c r="J13" s="163" t="n">
        <f aca="false">SUM(J8:J12)</f>
        <v>31625</v>
      </c>
      <c r="K13" s="163" t="n">
        <f aca="false">SUM(K8:K12)</f>
        <v>42352.5</v>
      </c>
      <c r="L13" s="163" t="n">
        <f aca="false">SUM(L8:L12)</f>
        <v>53080</v>
      </c>
      <c r="M13" s="163" t="n">
        <f aca="false">SUM(M8:M12)</f>
        <v>53080</v>
      </c>
      <c r="N13" s="163" t="n">
        <f aca="false">SUM(N8:N12)</f>
        <v>53080</v>
      </c>
      <c r="O13" s="163" t="n">
        <f aca="false">SUM(O8:O12)</f>
        <v>53080</v>
      </c>
      <c r="P13" s="163" t="n">
        <f aca="false">SUM(P8:P12)</f>
        <v>53080</v>
      </c>
      <c r="Q13" s="163" t="n">
        <f aca="false">SUM(Q8:Q12)</f>
        <v>53080</v>
      </c>
      <c r="R13" s="163" t="n">
        <f aca="false">SUM(R8:R12)</f>
        <v>53080</v>
      </c>
      <c r="S13" s="163" t="n">
        <f aca="false">SUM(S8:S12)</f>
        <v>53080</v>
      </c>
      <c r="T13" s="163" t="n">
        <f aca="false">SUM(T8:T12)</f>
        <v>115840</v>
      </c>
      <c r="U13" s="163" t="n">
        <f aca="false">SUM(U8:U12)</f>
        <v>115840</v>
      </c>
      <c r="V13" s="163" t="n">
        <f aca="false">SUM(V8:V12)</f>
        <v>115840</v>
      </c>
      <c r="W13" s="163" t="n">
        <f aca="false">SUM(W8:W12)</f>
        <v>115840</v>
      </c>
      <c r="X13" s="163" t="n">
        <f aca="false">SUM(X8:X12)</f>
        <v>115840</v>
      </c>
      <c r="Y13" s="163" t="n">
        <f aca="false">SUM(Y8:Y12)</f>
        <v>115840</v>
      </c>
      <c r="Z13" s="163" t="n">
        <f aca="false">SUM(Z8:Z12)</f>
        <v>115840</v>
      </c>
      <c r="AA13" s="163" t="n">
        <f aca="false">SUM(AA8:AA12)</f>
        <v>115840</v>
      </c>
      <c r="AB13" s="163" t="n">
        <f aca="false">SUM(AB8:AB12)</f>
        <v>115840</v>
      </c>
      <c r="AC13" s="163" t="n">
        <f aca="false">SUM(AC8:AC12)</f>
        <v>115840</v>
      </c>
      <c r="AD13" s="163" t="n">
        <f aca="false">SUM(AD8:AD12)</f>
        <v>115840</v>
      </c>
      <c r="AE13" s="163" t="n">
        <f aca="false">SUM(AE8:AE12)</f>
        <v>115840</v>
      </c>
      <c r="AF13" s="163" t="n">
        <f aca="false">SUM(AF8:AF12)</f>
        <v>237780.3</v>
      </c>
      <c r="AG13" s="163" t="n">
        <f aca="false">SUM(AG8:AG12)</f>
        <v>237780.3</v>
      </c>
      <c r="AH13" s="163" t="n">
        <f aca="false">SUM(AH8:AH12)</f>
        <v>237780.3</v>
      </c>
      <c r="AI13" s="163" t="n">
        <f aca="false">SUM(AI8:AI12)</f>
        <v>237780.3</v>
      </c>
      <c r="AJ13" s="163" t="n">
        <f aca="false">SUM(AJ8:AJ12)</f>
        <v>237780.3</v>
      </c>
      <c r="AK13" s="163" t="n">
        <f aca="false">SUM(AK8:AK12)</f>
        <v>237780.3</v>
      </c>
      <c r="AL13" s="163" t="n">
        <f aca="false">SUM(AL8:AL12)</f>
        <v>237780.3</v>
      </c>
      <c r="AM13" s="163" t="n">
        <f aca="false">SUM(AM8:AM12)</f>
        <v>237780.3</v>
      </c>
      <c r="AN13" s="163" t="n">
        <f aca="false">SUM(AN8:AN12)</f>
        <v>237780.3</v>
      </c>
      <c r="AO13" s="163" t="n">
        <f aca="false">SUM(AO8:AO12)</f>
        <v>237780.3</v>
      </c>
      <c r="AP13" s="163" t="n">
        <f aca="false">SUM(AP8:AP12)</f>
        <v>237780.3</v>
      </c>
      <c r="AQ13" s="163" t="n">
        <f aca="false">SUM(AQ8:AQ12)</f>
        <v>237780.3</v>
      </c>
    </row>
    <row r="14" customFormat="false" ht="22.5" hidden="false" customHeight="true" outlineLevel="0" collapsed="false">
      <c r="C14" s="173" t="s">
        <v>1176</v>
      </c>
      <c r="D14" s="174" t="n">
        <f aca="false">SUM(H14:S14)</f>
        <v>274785</v>
      </c>
      <c r="E14" s="174" t="n">
        <f aca="false">SUM(T14:AE14)</f>
        <v>1511920</v>
      </c>
      <c r="F14" s="174" t="n">
        <f aca="false">SUM(AF14:AQ14)</f>
        <v>3905636.4</v>
      </c>
      <c r="G14" s="172"/>
      <c r="H14" s="163" t="n">
        <f aca="false">H7-H13</f>
        <v>0</v>
      </c>
      <c r="I14" s="163" t="n">
        <f aca="false">I7-I13</f>
        <v>-77889.6052631579</v>
      </c>
      <c r="J14" s="163" t="n">
        <f aca="false">J7-J13</f>
        <v>14390.7894736842</v>
      </c>
      <c r="K14" s="163" t="n">
        <f aca="false">K7-K13</f>
        <v>26671.1842105263</v>
      </c>
      <c r="L14" s="163" t="n">
        <f aca="false">L7-L13</f>
        <v>38951.5789473684</v>
      </c>
      <c r="M14" s="163" t="n">
        <f aca="false">M7-M13</f>
        <v>38951.5789473684</v>
      </c>
      <c r="N14" s="163" t="n">
        <f aca="false">N7-N13</f>
        <v>38951.5789473684</v>
      </c>
      <c r="O14" s="163" t="n">
        <f aca="false">O7-O13</f>
        <v>38951.5789473684</v>
      </c>
      <c r="P14" s="163" t="n">
        <f aca="false">P7-P13</f>
        <v>38951.5789473684</v>
      </c>
      <c r="Q14" s="163" t="n">
        <f aca="false">Q7-Q13</f>
        <v>38951.5789473684</v>
      </c>
      <c r="R14" s="163" t="n">
        <f aca="false">R7-R13</f>
        <v>38951.5789473684</v>
      </c>
      <c r="S14" s="163" t="n">
        <f aca="false">S7-S13</f>
        <v>38951.5789473684</v>
      </c>
      <c r="T14" s="163" t="n">
        <f aca="false">T7-T13</f>
        <v>125993.333333333</v>
      </c>
      <c r="U14" s="163" t="n">
        <f aca="false">U7-U13</f>
        <v>125993.333333333</v>
      </c>
      <c r="V14" s="163" t="n">
        <f aca="false">V7-V13</f>
        <v>125993.333333333</v>
      </c>
      <c r="W14" s="163" t="n">
        <f aca="false">W7-W13</f>
        <v>125993.333333333</v>
      </c>
      <c r="X14" s="163" t="n">
        <f aca="false">X7-X13</f>
        <v>125993.333333333</v>
      </c>
      <c r="Y14" s="163" t="n">
        <f aca="false">Y7-Y13</f>
        <v>125993.333333333</v>
      </c>
      <c r="Z14" s="163" t="n">
        <f aca="false">Z7-Z13</f>
        <v>125993.333333333</v>
      </c>
      <c r="AA14" s="163" t="n">
        <f aca="false">AA7-AA13</f>
        <v>125993.333333333</v>
      </c>
      <c r="AB14" s="163" t="n">
        <f aca="false">AB7-AB13</f>
        <v>125993.333333333</v>
      </c>
      <c r="AC14" s="163" t="n">
        <f aca="false">AC7-AC13</f>
        <v>125993.333333333</v>
      </c>
      <c r="AD14" s="163" t="n">
        <f aca="false">AD7-AD13</f>
        <v>125993.333333333</v>
      </c>
      <c r="AE14" s="163" t="n">
        <f aca="false">AE7-AE13</f>
        <v>125993.333333333</v>
      </c>
      <c r="AF14" s="163" t="n">
        <f aca="false">AF7-AF13</f>
        <v>325469.7</v>
      </c>
      <c r="AG14" s="163" t="n">
        <f aca="false">AG7-AG13</f>
        <v>325469.7</v>
      </c>
      <c r="AH14" s="163" t="n">
        <f aca="false">AH7-AH13</f>
        <v>325469.7</v>
      </c>
      <c r="AI14" s="163" t="n">
        <f aca="false">AI7-AI13</f>
        <v>325469.7</v>
      </c>
      <c r="AJ14" s="163" t="n">
        <f aca="false">AJ7-AJ13</f>
        <v>325469.7</v>
      </c>
      <c r="AK14" s="163" t="n">
        <f aca="false">AK7-AK13</f>
        <v>325469.7</v>
      </c>
      <c r="AL14" s="163" t="n">
        <f aca="false">AL7-AL13</f>
        <v>325469.7</v>
      </c>
      <c r="AM14" s="163" t="n">
        <f aca="false">AM7-AM13</f>
        <v>325469.7</v>
      </c>
      <c r="AN14" s="163" t="n">
        <f aca="false">AN7-AN13</f>
        <v>325469.7</v>
      </c>
      <c r="AO14" s="163" t="n">
        <f aca="false">AO7-AO13</f>
        <v>325469.7</v>
      </c>
      <c r="AP14" s="163" t="n">
        <f aca="false">AP7-AP13</f>
        <v>325469.7</v>
      </c>
      <c r="AQ14" s="163" t="n">
        <f aca="false">AQ7-AQ13</f>
        <v>325469.7</v>
      </c>
    </row>
    <row r="15" customFormat="false" ht="22.5" hidden="false" customHeight="true" outlineLevel="0" collapsed="false">
      <c r="C15" s="168" t="s">
        <v>1177</v>
      </c>
      <c r="D15" s="153" t="n">
        <f aca="false">SUM(H15:S15)</f>
        <v>0</v>
      </c>
      <c r="E15" s="153" t="n">
        <f aca="false">SUM(T15:AE15)</f>
        <v>0</v>
      </c>
      <c r="F15" s="153" t="n">
        <f aca="false">SUM(AF15:AQ15)</f>
        <v>0</v>
      </c>
      <c r="G15" s="172"/>
      <c r="H15" s="163" t="n">
        <f aca="false">'W Assumptions'!D129/12</f>
        <v>0</v>
      </c>
      <c r="I15" s="163" t="n">
        <f aca="false">'W Assumptions'!D129/12</f>
        <v>0</v>
      </c>
      <c r="J15" s="163" t="n">
        <f aca="false">'W Assumptions'!D129/12</f>
        <v>0</v>
      </c>
      <c r="K15" s="163" t="n">
        <f aca="false">'W Assumptions'!D129/12</f>
        <v>0</v>
      </c>
      <c r="L15" s="163" t="n">
        <f aca="false">'W Assumptions'!D129/12</f>
        <v>0</v>
      </c>
      <c r="M15" s="163" t="n">
        <f aca="false">'W Assumptions'!D129/12</f>
        <v>0</v>
      </c>
      <c r="N15" s="163" t="n">
        <f aca="false">'W Assumptions'!D129/12</f>
        <v>0</v>
      </c>
      <c r="O15" s="163" t="n">
        <f aca="false">'W Assumptions'!D129/12</f>
        <v>0</v>
      </c>
      <c r="P15" s="163" t="n">
        <f aca="false">'W Assumptions'!D129/12</f>
        <v>0</v>
      </c>
      <c r="Q15" s="163" t="n">
        <f aca="false">'W Assumptions'!D129/12</f>
        <v>0</v>
      </c>
      <c r="R15" s="163" t="n">
        <f aca="false">'W Assumptions'!D129/12</f>
        <v>0</v>
      </c>
      <c r="S15" s="163" t="n">
        <f aca="false">'W Assumptions'!D129/12</f>
        <v>0</v>
      </c>
      <c r="T15" s="163" t="n">
        <f aca="false">'W Assumptions'!E129/12</f>
        <v>0</v>
      </c>
      <c r="U15" s="163" t="n">
        <f aca="false">'W Assumptions'!E129/12</f>
        <v>0</v>
      </c>
      <c r="V15" s="163" t="n">
        <f aca="false">'W Assumptions'!E129/12</f>
        <v>0</v>
      </c>
      <c r="W15" s="163" t="n">
        <f aca="false">'W Assumptions'!E129/12</f>
        <v>0</v>
      </c>
      <c r="X15" s="163" t="n">
        <f aca="false">'W Assumptions'!E129/12</f>
        <v>0</v>
      </c>
      <c r="Y15" s="163" t="n">
        <f aca="false">'W Assumptions'!E129/12</f>
        <v>0</v>
      </c>
      <c r="Z15" s="163" t="n">
        <f aca="false">'W Assumptions'!E129/12</f>
        <v>0</v>
      </c>
      <c r="AA15" s="163" t="n">
        <f aca="false">'W Assumptions'!E129/12</f>
        <v>0</v>
      </c>
      <c r="AB15" s="163" t="n">
        <f aca="false">'W Assumptions'!E129/12</f>
        <v>0</v>
      </c>
      <c r="AC15" s="163" t="n">
        <f aca="false">'W Assumptions'!E129/12</f>
        <v>0</v>
      </c>
      <c r="AD15" s="163" t="n">
        <f aca="false">'W Assumptions'!E129/12</f>
        <v>0</v>
      </c>
      <c r="AE15" s="163" t="n">
        <f aca="false">'W Assumptions'!E129/12</f>
        <v>0</v>
      </c>
      <c r="AF15" s="163" t="n">
        <f aca="false">'W Assumptions'!F129/12</f>
        <v>0</v>
      </c>
      <c r="AG15" s="163" t="n">
        <f aca="false">'W Assumptions'!F129/12</f>
        <v>0</v>
      </c>
      <c r="AH15" s="163" t="n">
        <f aca="false">'W Assumptions'!F129/12</f>
        <v>0</v>
      </c>
      <c r="AI15" s="163" t="n">
        <f aca="false">'W Assumptions'!F129/12</f>
        <v>0</v>
      </c>
      <c r="AJ15" s="163" t="n">
        <f aca="false">'W Assumptions'!F129/12</f>
        <v>0</v>
      </c>
      <c r="AK15" s="163" t="n">
        <f aca="false">'W Assumptions'!F129/12</f>
        <v>0</v>
      </c>
      <c r="AL15" s="163" t="n">
        <f aca="false">'W Assumptions'!F129/12</f>
        <v>0</v>
      </c>
      <c r="AM15" s="163" t="n">
        <f aca="false">'W Assumptions'!F129/12</f>
        <v>0</v>
      </c>
      <c r="AN15" s="163" t="n">
        <f aca="false">'W Assumptions'!F129/12</f>
        <v>0</v>
      </c>
      <c r="AO15" s="163" t="n">
        <f aca="false">'W Assumptions'!F129/12</f>
        <v>0</v>
      </c>
      <c r="AP15" s="163" t="n">
        <f aca="false">'W Assumptions'!F129/12</f>
        <v>0</v>
      </c>
      <c r="AQ15" s="163" t="n">
        <f aca="false">'W Assumptions'!F129/12</f>
        <v>0</v>
      </c>
    </row>
    <row r="16" customFormat="false" ht="22.5" hidden="false" customHeight="true" outlineLevel="0" collapsed="false">
      <c r="C16" s="173" t="s">
        <v>1178</v>
      </c>
      <c r="D16" s="174" t="n">
        <f aca="false">SUM(H16:S16)</f>
        <v>274785</v>
      </c>
      <c r="E16" s="174" t="n">
        <f aca="false">SUM(T16:AE16)</f>
        <v>1511920</v>
      </c>
      <c r="F16" s="174" t="n">
        <f aca="false">SUM(AF16:AQ16)</f>
        <v>3905636.4</v>
      </c>
      <c r="G16" s="172"/>
      <c r="H16" s="163" t="n">
        <f aca="false">H14-H15</f>
        <v>0</v>
      </c>
      <c r="I16" s="163" t="n">
        <f aca="false">I14-I15</f>
        <v>-77889.6052631579</v>
      </c>
      <c r="J16" s="163" t="n">
        <f aca="false">J14-J15</f>
        <v>14390.7894736842</v>
      </c>
      <c r="K16" s="163" t="n">
        <f aca="false">K14-K15</f>
        <v>26671.1842105263</v>
      </c>
      <c r="L16" s="163" t="n">
        <f aca="false">L14-L15</f>
        <v>38951.5789473684</v>
      </c>
      <c r="M16" s="163" t="n">
        <f aca="false">M14-M15</f>
        <v>38951.5789473684</v>
      </c>
      <c r="N16" s="163" t="n">
        <f aca="false">N14-N15</f>
        <v>38951.5789473684</v>
      </c>
      <c r="O16" s="163" t="n">
        <f aca="false">O14-O15</f>
        <v>38951.5789473684</v>
      </c>
      <c r="P16" s="163" t="n">
        <f aca="false">P14-P15</f>
        <v>38951.5789473684</v>
      </c>
      <c r="Q16" s="163" t="n">
        <f aca="false">Q14-Q15</f>
        <v>38951.5789473684</v>
      </c>
      <c r="R16" s="163" t="n">
        <f aca="false">R14-R15</f>
        <v>38951.5789473684</v>
      </c>
      <c r="S16" s="163" t="n">
        <f aca="false">S14-S15</f>
        <v>38951.5789473684</v>
      </c>
      <c r="T16" s="163" t="n">
        <f aca="false">T14-T15</f>
        <v>125993.333333333</v>
      </c>
      <c r="U16" s="163" t="n">
        <f aca="false">U14-U15</f>
        <v>125993.333333333</v>
      </c>
      <c r="V16" s="163" t="n">
        <f aca="false">V14-V15</f>
        <v>125993.333333333</v>
      </c>
      <c r="W16" s="163" t="n">
        <f aca="false">W14-W15</f>
        <v>125993.333333333</v>
      </c>
      <c r="X16" s="163" t="n">
        <f aca="false">X14-X15</f>
        <v>125993.333333333</v>
      </c>
      <c r="Y16" s="163" t="n">
        <f aca="false">Y14-Y15</f>
        <v>125993.333333333</v>
      </c>
      <c r="Z16" s="163" t="n">
        <f aca="false">Z14-Z15</f>
        <v>125993.333333333</v>
      </c>
      <c r="AA16" s="163" t="n">
        <f aca="false">AA14-AA15</f>
        <v>125993.333333333</v>
      </c>
      <c r="AB16" s="163" t="n">
        <f aca="false">AB14-AB15</f>
        <v>125993.333333333</v>
      </c>
      <c r="AC16" s="163" t="n">
        <f aca="false">AC14-AC15</f>
        <v>125993.333333333</v>
      </c>
      <c r="AD16" s="163" t="n">
        <f aca="false">AD14-AD15</f>
        <v>125993.333333333</v>
      </c>
      <c r="AE16" s="163" t="n">
        <f aca="false">AE14-AE15</f>
        <v>125993.333333333</v>
      </c>
      <c r="AF16" s="163" t="n">
        <f aca="false">AF14-AF15</f>
        <v>325469.7</v>
      </c>
      <c r="AG16" s="163" t="n">
        <f aca="false">AG14-AG15</f>
        <v>325469.7</v>
      </c>
      <c r="AH16" s="163" t="n">
        <f aca="false">AH14-AH15</f>
        <v>325469.7</v>
      </c>
      <c r="AI16" s="163" t="n">
        <f aca="false">AI14-AI15</f>
        <v>325469.7</v>
      </c>
      <c r="AJ16" s="163" t="n">
        <f aca="false">AJ14-AJ15</f>
        <v>325469.7</v>
      </c>
      <c r="AK16" s="163" t="n">
        <f aca="false">AK14-AK15</f>
        <v>325469.7</v>
      </c>
      <c r="AL16" s="163" t="n">
        <f aca="false">AL14-AL15</f>
        <v>325469.7</v>
      </c>
      <c r="AM16" s="163" t="n">
        <f aca="false">AM14-AM15</f>
        <v>325469.7</v>
      </c>
      <c r="AN16" s="163" t="n">
        <f aca="false">AN14-AN15</f>
        <v>325469.7</v>
      </c>
      <c r="AO16" s="163" t="n">
        <f aca="false">AO14-AO15</f>
        <v>325469.7</v>
      </c>
      <c r="AP16" s="163" t="n">
        <f aca="false">AP14-AP15</f>
        <v>325469.7</v>
      </c>
      <c r="AQ16" s="163" t="n">
        <f aca="false">AQ14-AQ15</f>
        <v>325469.7</v>
      </c>
    </row>
    <row r="17" customFormat="false" ht="22.5" hidden="false" customHeight="true" outlineLevel="0" collapsed="false">
      <c r="C17" s="168"/>
      <c r="D17" s="172"/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  <c r="AK17" s="172"/>
      <c r="AL17" s="172"/>
      <c r="AM17" s="172"/>
      <c r="AN17" s="172"/>
      <c r="AO17" s="172"/>
      <c r="AP17" s="172"/>
      <c r="AQ17" s="172"/>
    </row>
    <row r="18" customFormat="false" ht="22.5" hidden="false" customHeight="true" outlineLevel="0" collapsed="false">
      <c r="C18" s="168" t="s">
        <v>1179</v>
      </c>
      <c r="D18" s="153" t="n">
        <f aca="false">SUM(H18:S18)</f>
        <v>164871</v>
      </c>
      <c r="E18" s="153" t="n">
        <f aca="false">SUM(T18:AE18)</f>
        <v>907152</v>
      </c>
      <c r="F18" s="153" t="n">
        <f aca="false">SUM(AF18:AQ18)</f>
        <v>2343381.84</v>
      </c>
      <c r="G18" s="172"/>
      <c r="H18" s="163" t="n">
        <f aca="false">H16*'W Assumptions'!$D$52</f>
        <v>0</v>
      </c>
      <c r="I18" s="163" t="n">
        <f aca="false">I16*'W Assumptions'!$D$52</f>
        <v>-46733.7631578947</v>
      </c>
      <c r="J18" s="163" t="n">
        <f aca="false">J16*'W Assumptions'!$D$52</f>
        <v>8634.47368421052</v>
      </c>
      <c r="K18" s="163" t="n">
        <f aca="false">K16*'W Assumptions'!$D$52</f>
        <v>16002.7105263158</v>
      </c>
      <c r="L18" s="163" t="n">
        <f aca="false">L16*'W Assumptions'!$D$52</f>
        <v>23370.947368421</v>
      </c>
      <c r="M18" s="163" t="n">
        <f aca="false">M16*'W Assumptions'!$D$52</f>
        <v>23370.947368421</v>
      </c>
      <c r="N18" s="163" t="n">
        <f aca="false">N16*'W Assumptions'!$D$52</f>
        <v>23370.947368421</v>
      </c>
      <c r="O18" s="163" t="n">
        <f aca="false">O16*'W Assumptions'!$D$52</f>
        <v>23370.947368421</v>
      </c>
      <c r="P18" s="163" t="n">
        <f aca="false">P16*'W Assumptions'!$D$52</f>
        <v>23370.947368421</v>
      </c>
      <c r="Q18" s="163" t="n">
        <f aca="false">Q16*'W Assumptions'!$D$52</f>
        <v>23370.947368421</v>
      </c>
      <c r="R18" s="163" t="n">
        <f aca="false">R16*'W Assumptions'!$D$52</f>
        <v>23370.947368421</v>
      </c>
      <c r="S18" s="163" t="n">
        <f aca="false">S16*'W Assumptions'!$D$52</f>
        <v>23370.947368421</v>
      </c>
      <c r="T18" s="163" t="n">
        <f aca="false">T16*'W Assumptions'!$D$52</f>
        <v>75596</v>
      </c>
      <c r="U18" s="163" t="n">
        <f aca="false">U16*'W Assumptions'!$D$52</f>
        <v>75596</v>
      </c>
      <c r="V18" s="163" t="n">
        <f aca="false">V16*'W Assumptions'!$D$52</f>
        <v>75596</v>
      </c>
      <c r="W18" s="163" t="n">
        <f aca="false">W16*'W Assumptions'!$D$52</f>
        <v>75596</v>
      </c>
      <c r="X18" s="163" t="n">
        <f aca="false">X16*'W Assumptions'!$D$52</f>
        <v>75596</v>
      </c>
      <c r="Y18" s="163" t="n">
        <f aca="false">Y16*'W Assumptions'!$D$52</f>
        <v>75596</v>
      </c>
      <c r="Z18" s="163" t="n">
        <f aca="false">Z16*'W Assumptions'!$D$52</f>
        <v>75596</v>
      </c>
      <c r="AA18" s="163" t="n">
        <f aca="false">AA16*'W Assumptions'!$D$52</f>
        <v>75596</v>
      </c>
      <c r="AB18" s="163" t="n">
        <f aca="false">AB16*'W Assumptions'!$D$52</f>
        <v>75596</v>
      </c>
      <c r="AC18" s="163" t="n">
        <f aca="false">AC16*'W Assumptions'!$D$52</f>
        <v>75596</v>
      </c>
      <c r="AD18" s="163" t="n">
        <f aca="false">AD16*'W Assumptions'!$D$52</f>
        <v>75596</v>
      </c>
      <c r="AE18" s="163" t="n">
        <f aca="false">AE16*'W Assumptions'!$D$52</f>
        <v>75596</v>
      </c>
      <c r="AF18" s="163" t="n">
        <f aca="false">AF16*'W Assumptions'!$D$52</f>
        <v>195281.82</v>
      </c>
      <c r="AG18" s="163" t="n">
        <f aca="false">AG16*'W Assumptions'!$D$52</f>
        <v>195281.82</v>
      </c>
      <c r="AH18" s="163" t="n">
        <f aca="false">AH16*'W Assumptions'!$D$52</f>
        <v>195281.82</v>
      </c>
      <c r="AI18" s="163" t="n">
        <f aca="false">AI16*'W Assumptions'!$D$52</f>
        <v>195281.82</v>
      </c>
      <c r="AJ18" s="163" t="n">
        <f aca="false">AJ16*'W Assumptions'!$D$52</f>
        <v>195281.82</v>
      </c>
      <c r="AK18" s="163" t="n">
        <f aca="false">AK16*'W Assumptions'!$D$52</f>
        <v>195281.82</v>
      </c>
      <c r="AL18" s="163" t="n">
        <f aca="false">AL16*'W Assumptions'!$D$52</f>
        <v>195281.82</v>
      </c>
      <c r="AM18" s="163" t="n">
        <f aca="false">AM16*'W Assumptions'!$D$52</f>
        <v>195281.82</v>
      </c>
      <c r="AN18" s="163" t="n">
        <f aca="false">AN16*'W Assumptions'!$D$52</f>
        <v>195281.82</v>
      </c>
      <c r="AO18" s="163" t="n">
        <f aca="false">AO16*'W Assumptions'!$D$52</f>
        <v>195281.82</v>
      </c>
      <c r="AP18" s="163" t="n">
        <f aca="false">AP16*'W Assumptions'!$D$52</f>
        <v>195281.82</v>
      </c>
      <c r="AQ18" s="163" t="n">
        <f aca="false">AQ16*'W Assumptions'!$D$52</f>
        <v>195281.82</v>
      </c>
    </row>
    <row r="19" customFormat="false" ht="22.5" hidden="false" customHeight="true" outlineLevel="0" collapsed="false">
      <c r="C19" s="168" t="s">
        <v>1180</v>
      </c>
      <c r="D19" s="153" t="n">
        <f aca="false">SUM(H19:S19)</f>
        <v>109914</v>
      </c>
      <c r="E19" s="153" t="n">
        <f aca="false">SUM(T19:AE19)</f>
        <v>604768</v>
      </c>
      <c r="F19" s="153" t="n">
        <f aca="false">SUM(AF19:AQ19)</f>
        <v>1562254.56</v>
      </c>
      <c r="G19" s="172"/>
      <c r="H19" s="163" t="n">
        <f aca="false">H16*'W Assumptions'!$D$53</f>
        <v>0</v>
      </c>
      <c r="I19" s="163" t="n">
        <f aca="false">I16*'W Assumptions'!$D$53</f>
        <v>-31155.8421052632</v>
      </c>
      <c r="J19" s="163" t="n">
        <f aca="false">J16*'W Assumptions'!$D$53</f>
        <v>5756.31578947368</v>
      </c>
      <c r="K19" s="163" t="n">
        <f aca="false">K16*'W Assumptions'!$D$53</f>
        <v>10668.4736842105</v>
      </c>
      <c r="L19" s="163" t="n">
        <f aca="false">L16*'W Assumptions'!$D$53</f>
        <v>15580.6315789474</v>
      </c>
      <c r="M19" s="163" t="n">
        <f aca="false">M16*'W Assumptions'!$D$53</f>
        <v>15580.6315789474</v>
      </c>
      <c r="N19" s="163" t="n">
        <f aca="false">N16*'W Assumptions'!$D$53</f>
        <v>15580.6315789474</v>
      </c>
      <c r="O19" s="163" t="n">
        <f aca="false">O16*'W Assumptions'!$D$53</f>
        <v>15580.6315789474</v>
      </c>
      <c r="P19" s="163" t="n">
        <f aca="false">P16*'W Assumptions'!$D$53</f>
        <v>15580.6315789474</v>
      </c>
      <c r="Q19" s="163" t="n">
        <f aca="false">Q16*'W Assumptions'!$D$53</f>
        <v>15580.6315789474</v>
      </c>
      <c r="R19" s="163" t="n">
        <f aca="false">R16*'W Assumptions'!$D$53</f>
        <v>15580.6315789474</v>
      </c>
      <c r="S19" s="163" t="n">
        <f aca="false">S16*'W Assumptions'!$D$53</f>
        <v>15580.6315789474</v>
      </c>
      <c r="T19" s="163" t="n">
        <f aca="false">T16*'W Assumptions'!$D$53</f>
        <v>50397.3333333333</v>
      </c>
      <c r="U19" s="163" t="n">
        <f aca="false">U16*'W Assumptions'!$D$53</f>
        <v>50397.3333333333</v>
      </c>
      <c r="V19" s="163" t="n">
        <f aca="false">V16*'W Assumptions'!$D$53</f>
        <v>50397.3333333333</v>
      </c>
      <c r="W19" s="163" t="n">
        <f aca="false">W16*'W Assumptions'!$D$53</f>
        <v>50397.3333333333</v>
      </c>
      <c r="X19" s="163" t="n">
        <f aca="false">X16*'W Assumptions'!$D$53</f>
        <v>50397.3333333333</v>
      </c>
      <c r="Y19" s="163" t="n">
        <f aca="false">Y16*'W Assumptions'!$D$53</f>
        <v>50397.3333333333</v>
      </c>
      <c r="Z19" s="163" t="n">
        <f aca="false">Z16*'W Assumptions'!$D$53</f>
        <v>50397.3333333333</v>
      </c>
      <c r="AA19" s="163" t="n">
        <f aca="false">AA16*'W Assumptions'!$D$53</f>
        <v>50397.3333333333</v>
      </c>
      <c r="AB19" s="163" t="n">
        <f aca="false">AB16*'W Assumptions'!$D$53</f>
        <v>50397.3333333333</v>
      </c>
      <c r="AC19" s="163" t="n">
        <f aca="false">AC16*'W Assumptions'!$D$53</f>
        <v>50397.3333333333</v>
      </c>
      <c r="AD19" s="163" t="n">
        <f aca="false">AD16*'W Assumptions'!$D$53</f>
        <v>50397.3333333333</v>
      </c>
      <c r="AE19" s="163" t="n">
        <f aca="false">AE16*'W Assumptions'!$D$53</f>
        <v>50397.3333333333</v>
      </c>
      <c r="AF19" s="163" t="n">
        <f aca="false">AF16*'W Assumptions'!$D$53</f>
        <v>130187.88</v>
      </c>
      <c r="AG19" s="163" t="n">
        <f aca="false">AG16*'W Assumptions'!$D$53</f>
        <v>130187.88</v>
      </c>
      <c r="AH19" s="163" t="n">
        <f aca="false">AH16*'W Assumptions'!$D$53</f>
        <v>130187.88</v>
      </c>
      <c r="AI19" s="163" t="n">
        <f aca="false">AI16*'W Assumptions'!$D$53</f>
        <v>130187.88</v>
      </c>
      <c r="AJ19" s="163" t="n">
        <f aca="false">AJ16*'W Assumptions'!$D$53</f>
        <v>130187.88</v>
      </c>
      <c r="AK19" s="163" t="n">
        <f aca="false">AK16*'W Assumptions'!$D$53</f>
        <v>130187.88</v>
      </c>
      <c r="AL19" s="163" t="n">
        <f aca="false">AL16*'W Assumptions'!$D$53</f>
        <v>130187.88</v>
      </c>
      <c r="AM19" s="163" t="n">
        <f aca="false">AM16*'W Assumptions'!$D$53</f>
        <v>130187.88</v>
      </c>
      <c r="AN19" s="163" t="n">
        <f aca="false">AN16*'W Assumptions'!$D$53</f>
        <v>130187.88</v>
      </c>
      <c r="AO19" s="163" t="n">
        <f aca="false">AO16*'W Assumptions'!$D$53</f>
        <v>130187.88</v>
      </c>
      <c r="AP19" s="163" t="n">
        <f aca="false">AP16*'W Assumptions'!$D$53</f>
        <v>130187.88</v>
      </c>
      <c r="AQ19" s="163" t="n">
        <f aca="false">AQ16*'W Assumptions'!$D$53</f>
        <v>130187.88</v>
      </c>
    </row>
    <row r="20" customFormat="false" ht="22.5" hidden="false" customHeight="true" outlineLevel="0" collapsed="false">
      <c r="C20" s="168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2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  <c r="AK20" s="172"/>
      <c r="AL20" s="172"/>
      <c r="AM20" s="172"/>
      <c r="AN20" s="172"/>
      <c r="AO20" s="172"/>
      <c r="AP20" s="172"/>
      <c r="AQ20" s="172"/>
    </row>
    <row r="21" customFormat="false" ht="22.5" hidden="false" customHeight="true" outlineLevel="0" collapsed="false">
      <c r="C21" s="168" t="s">
        <v>1181</v>
      </c>
      <c r="D21" s="153" t="n">
        <f aca="false">SUM(H21:S21)</f>
        <v>778142.105263158</v>
      </c>
      <c r="E21" s="153" t="n">
        <f aca="false">SUM(T21:AE21)</f>
        <v>2752091.22807018</v>
      </c>
      <c r="F21" s="153" t="n">
        <f aca="false">SUM(AF21:AQ21)</f>
        <v>6461016.66666667</v>
      </c>
      <c r="G21" s="172"/>
      <c r="H21" s="163" t="n">
        <f aca="false">'W Cash Flow'!H8</f>
        <v>0</v>
      </c>
      <c r="I21" s="163" t="n">
        <f aca="false">'W Cash Flow'!I8</f>
        <v>10988.1578947368</v>
      </c>
      <c r="J21" s="163" t="n">
        <f aca="false">'W Cash Flow'!J8</f>
        <v>21976.3157894737</v>
      </c>
      <c r="K21" s="163" t="n">
        <f aca="false">'W Cash Flow'!K8</f>
        <v>44984.2105263158</v>
      </c>
      <c r="L21" s="163" t="n">
        <f aca="false">'W Cash Flow'!L8</f>
        <v>67992.1052631579</v>
      </c>
      <c r="M21" s="163" t="n">
        <f aca="false">'W Cash Flow'!M8</f>
        <v>80011.8421052632</v>
      </c>
      <c r="N21" s="163" t="n">
        <f aca="false">'W Cash Flow'!N8</f>
        <v>92031.5789473684</v>
      </c>
      <c r="O21" s="163" t="n">
        <f aca="false">'W Cash Flow'!O8</f>
        <v>92031.5789473684</v>
      </c>
      <c r="P21" s="163" t="n">
        <f aca="false">'W Cash Flow'!P8</f>
        <v>92031.5789473684</v>
      </c>
      <c r="Q21" s="163" t="n">
        <f aca="false">'W Cash Flow'!Q8</f>
        <v>92031.5789473684</v>
      </c>
      <c r="R21" s="163" t="n">
        <f aca="false">'W Cash Flow'!R8</f>
        <v>92031.5789473684</v>
      </c>
      <c r="S21" s="163" t="n">
        <f aca="false">'W Cash Flow'!S8</f>
        <v>92031.5789473684</v>
      </c>
      <c r="T21" s="163" t="n">
        <f aca="false">'W Cash Flow'!T8</f>
        <v>166878.947368421</v>
      </c>
      <c r="U21" s="163" t="n">
        <f aca="false">'W Cash Flow'!U8</f>
        <v>166878.947368421</v>
      </c>
      <c r="V21" s="163" t="n">
        <f aca="false">'W Cash Flow'!V8</f>
        <v>241833.333333333</v>
      </c>
      <c r="W21" s="163" t="n">
        <f aca="false">'W Cash Flow'!W8</f>
        <v>241833.333333333</v>
      </c>
      <c r="X21" s="163" t="n">
        <f aca="false">'W Cash Flow'!X8</f>
        <v>241833.333333333</v>
      </c>
      <c r="Y21" s="163" t="n">
        <f aca="false">'W Cash Flow'!Y8</f>
        <v>241833.333333333</v>
      </c>
      <c r="Z21" s="163" t="n">
        <f aca="false">'W Cash Flow'!Z8</f>
        <v>241833.333333333</v>
      </c>
      <c r="AA21" s="163" t="n">
        <f aca="false">'W Cash Flow'!AA8</f>
        <v>241833.333333333</v>
      </c>
      <c r="AB21" s="163" t="n">
        <f aca="false">'W Cash Flow'!AB8</f>
        <v>241833.333333333</v>
      </c>
      <c r="AC21" s="163" t="n">
        <f aca="false">'W Cash Flow'!AC8</f>
        <v>241833.333333333</v>
      </c>
      <c r="AD21" s="163" t="n">
        <f aca="false">'W Cash Flow'!AD8</f>
        <v>241833.333333333</v>
      </c>
      <c r="AE21" s="163" t="n">
        <f aca="false">'W Cash Flow'!AE8</f>
        <v>241833.333333333</v>
      </c>
      <c r="AF21" s="163" t="n">
        <f aca="false">'W Cash Flow'!AF8</f>
        <v>414258.333333333</v>
      </c>
      <c r="AG21" s="163" t="n">
        <f aca="false">'W Cash Flow'!AG8</f>
        <v>414258.333333333</v>
      </c>
      <c r="AH21" s="163" t="n">
        <f aca="false">'W Cash Flow'!AH8</f>
        <v>563250</v>
      </c>
      <c r="AI21" s="163" t="n">
        <f aca="false">'W Cash Flow'!AI8</f>
        <v>563250</v>
      </c>
      <c r="AJ21" s="163" t="n">
        <f aca="false">'W Cash Flow'!AJ8</f>
        <v>563250</v>
      </c>
      <c r="AK21" s="163" t="n">
        <f aca="false">'W Cash Flow'!AK8</f>
        <v>563250</v>
      </c>
      <c r="AL21" s="163" t="n">
        <f aca="false">'W Cash Flow'!AL8</f>
        <v>563250</v>
      </c>
      <c r="AM21" s="163" t="n">
        <f aca="false">'W Cash Flow'!AM8</f>
        <v>563250</v>
      </c>
      <c r="AN21" s="163" t="n">
        <f aca="false">'W Cash Flow'!AN8</f>
        <v>563250</v>
      </c>
      <c r="AO21" s="163" t="n">
        <f aca="false">'W Cash Flow'!AO8</f>
        <v>563250</v>
      </c>
      <c r="AP21" s="163" t="n">
        <f aca="false">'W Cash Flow'!AP8</f>
        <v>563250</v>
      </c>
      <c r="AQ21" s="163" t="n">
        <f aca="false">'W Cash Flow'!AQ8</f>
        <v>563250</v>
      </c>
    </row>
    <row r="22" customFormat="false" ht="22.5" hidden="false" customHeight="true" outlineLevel="0" collapsed="false">
      <c r="C22" s="168" t="s">
        <v>1182</v>
      </c>
      <c r="D22" s="153" t="n">
        <f aca="false">SUM(H22:S22)</f>
        <v>399063</v>
      </c>
      <c r="E22" s="153" t="n">
        <f aca="false">SUM(T22:AE22)</f>
        <v>1251712</v>
      </c>
      <c r="F22" s="153" t="n">
        <f aca="false">SUM(AF22:AQ22)</f>
        <v>2699168.5</v>
      </c>
      <c r="G22" s="172"/>
      <c r="H22" s="163" t="n">
        <f aca="false">SUMIFS('W Program Monthly'!$N$6:$N$509,'W Program Monthly'!$C$6:$C$509,H$6,'W Program Monthly'!$E$6:$E$509,"TLI")</f>
        <v>0</v>
      </c>
      <c r="I22" s="163" t="n">
        <f aca="false">SUMIFS('W Program Monthly'!$N$6:$N$509,'W Program Monthly'!$C$6:$C$509,I$6,'W Program Monthly'!$E$6:$E$509,"TLI")</f>
        <v>8582</v>
      </c>
      <c r="J22" s="163" t="n">
        <f aca="false">SUMIFS('W Program Monthly'!$N$6:$N$509,'W Program Monthly'!$C$6:$C$509,J$6,'W Program Monthly'!$E$6:$E$509,"TLI")</f>
        <v>19309.5</v>
      </c>
      <c r="K22" s="163" t="n">
        <f aca="false">SUMIFS('W Program Monthly'!$N$6:$N$509,'W Program Monthly'!$C$6:$C$509,K$6,'W Program Monthly'!$E$6:$E$509,"TLI")</f>
        <v>30037</v>
      </c>
      <c r="L22" s="163" t="n">
        <f aca="false">SUMIFS('W Program Monthly'!$N$6:$N$509,'W Program Monthly'!$C$6:$C$509,L$6,'W Program Monthly'!$E$6:$E$509,"TLI")</f>
        <v>40764.5</v>
      </c>
      <c r="M22" s="163" t="n">
        <f aca="false">SUMIFS('W Program Monthly'!$N$6:$N$509,'W Program Monthly'!$C$6:$C$509,M$6,'W Program Monthly'!$E$6:$E$509,"TLI")</f>
        <v>42910</v>
      </c>
      <c r="N22" s="163" t="n">
        <f aca="false">SUMIFS('W Program Monthly'!$N$6:$N$509,'W Program Monthly'!$C$6:$C$509,N$6,'W Program Monthly'!$E$6:$E$509,"TLI")</f>
        <v>42910</v>
      </c>
      <c r="O22" s="163" t="n">
        <f aca="false">SUMIFS('W Program Monthly'!$N$6:$N$509,'W Program Monthly'!$C$6:$C$509,O$6,'W Program Monthly'!$E$6:$E$509,"TLI")</f>
        <v>42910</v>
      </c>
      <c r="P22" s="163" t="n">
        <f aca="false">SUMIFS('W Program Monthly'!$N$6:$N$509,'W Program Monthly'!$C$6:$C$509,P$6,'W Program Monthly'!$E$6:$E$509,"TLI")</f>
        <v>42910</v>
      </c>
      <c r="Q22" s="163" t="n">
        <f aca="false">SUMIFS('W Program Monthly'!$N$6:$N$509,'W Program Monthly'!$C$6:$C$509,Q$6,'W Program Monthly'!$E$6:$E$509,"TLI")</f>
        <v>42910</v>
      </c>
      <c r="R22" s="163" t="n">
        <f aca="false">SUMIFS('W Program Monthly'!$N$6:$N$509,'W Program Monthly'!$C$6:$C$509,R$6,'W Program Monthly'!$E$6:$E$509,"TLI")</f>
        <v>42910</v>
      </c>
      <c r="S22" s="163" t="n">
        <f aca="false">SUMIFS('W Program Monthly'!$N$6:$N$509,'W Program Monthly'!$C$6:$C$509,S$6,'W Program Monthly'!$E$6:$E$509,"TLI")</f>
        <v>42910</v>
      </c>
      <c r="T22" s="163" t="n">
        <f aca="false">SUMIFS('W Program Monthly'!$N$6:$N$509,'W Program Monthly'!$C$6:$C$509,T$6,'W Program Monthly'!$E$6:$E$509,"TLI")</f>
        <v>92862</v>
      </c>
      <c r="U22" s="163" t="n">
        <f aca="false">SUMIFS('W Program Monthly'!$N$6:$N$509,'W Program Monthly'!$C$6:$C$509,U$6,'W Program Monthly'!$E$6:$E$509,"TLI")</f>
        <v>105350</v>
      </c>
      <c r="V22" s="163" t="n">
        <f aca="false">SUMIFS('W Program Monthly'!$N$6:$N$509,'W Program Monthly'!$C$6:$C$509,V$6,'W Program Monthly'!$E$6:$E$509,"TLI")</f>
        <v>105350</v>
      </c>
      <c r="W22" s="163" t="n">
        <f aca="false">SUMIFS('W Program Monthly'!$N$6:$N$509,'W Program Monthly'!$C$6:$C$509,W$6,'W Program Monthly'!$E$6:$E$509,"TLI")</f>
        <v>105350</v>
      </c>
      <c r="X22" s="163" t="n">
        <f aca="false">SUMIFS('W Program Monthly'!$N$6:$N$509,'W Program Monthly'!$C$6:$C$509,X$6,'W Program Monthly'!$E$6:$E$509,"TLI")</f>
        <v>105350</v>
      </c>
      <c r="Y22" s="163" t="n">
        <f aca="false">SUMIFS('W Program Monthly'!$N$6:$N$509,'W Program Monthly'!$C$6:$C$509,Y$6,'W Program Monthly'!$E$6:$E$509,"TLI")</f>
        <v>105350</v>
      </c>
      <c r="Z22" s="163" t="n">
        <f aca="false">SUMIFS('W Program Monthly'!$N$6:$N$509,'W Program Monthly'!$C$6:$C$509,Z$6,'W Program Monthly'!$E$6:$E$509,"TLI")</f>
        <v>105350</v>
      </c>
      <c r="AA22" s="163" t="n">
        <f aca="false">SUMIFS('W Program Monthly'!$N$6:$N$509,'W Program Monthly'!$C$6:$C$509,AA$6,'W Program Monthly'!$E$6:$E$509,"TLI")</f>
        <v>105350</v>
      </c>
      <c r="AB22" s="163" t="n">
        <f aca="false">SUMIFS('W Program Monthly'!$N$6:$N$509,'W Program Monthly'!$C$6:$C$509,AB$6,'W Program Monthly'!$E$6:$E$509,"TLI")</f>
        <v>105350</v>
      </c>
      <c r="AC22" s="163" t="n">
        <f aca="false">SUMIFS('W Program Monthly'!$N$6:$N$509,'W Program Monthly'!$C$6:$C$509,AC$6,'W Program Monthly'!$E$6:$E$509,"TLI")</f>
        <v>105350</v>
      </c>
      <c r="AD22" s="163" t="n">
        <f aca="false">SUMIFS('W Program Monthly'!$N$6:$N$509,'W Program Monthly'!$C$6:$C$509,AD$6,'W Program Monthly'!$E$6:$E$509,"TLI")</f>
        <v>105350</v>
      </c>
      <c r="AE22" s="163" t="n">
        <f aca="false">SUMIFS('W Program Monthly'!$N$6:$N$509,'W Program Monthly'!$C$6:$C$509,AE$6,'W Program Monthly'!$E$6:$E$509,"TLI")</f>
        <v>105350</v>
      </c>
      <c r="AF22" s="163" t="n">
        <f aca="false">SUMIFS('W Program Monthly'!$N$6:$N$509,'W Program Monthly'!$C$6:$C$509,AF$6,'W Program Monthly'!$E$6:$E$509,"TLI")</f>
        <v>202636</v>
      </c>
      <c r="AG22" s="163" t="n">
        <f aca="false">SUMIFS('W Program Monthly'!$N$6:$N$509,'W Program Monthly'!$C$6:$C$509,AG$6,'W Program Monthly'!$E$6:$E$509,"TLI")</f>
        <v>226957.5</v>
      </c>
      <c r="AH22" s="163" t="n">
        <f aca="false">SUMIFS('W Program Monthly'!$N$6:$N$509,'W Program Monthly'!$C$6:$C$509,AH$6,'W Program Monthly'!$E$6:$E$509,"TLI")</f>
        <v>226957.5</v>
      </c>
      <c r="AI22" s="163" t="n">
        <f aca="false">SUMIFS('W Program Monthly'!$N$6:$N$509,'W Program Monthly'!$C$6:$C$509,AI$6,'W Program Monthly'!$E$6:$E$509,"TLI")</f>
        <v>226957.5</v>
      </c>
      <c r="AJ22" s="163" t="n">
        <f aca="false">SUMIFS('W Program Monthly'!$N$6:$N$509,'W Program Monthly'!$C$6:$C$509,AJ$6,'W Program Monthly'!$E$6:$E$509,"TLI")</f>
        <v>226957.5</v>
      </c>
      <c r="AK22" s="163" t="n">
        <f aca="false">SUMIFS('W Program Monthly'!$N$6:$N$509,'W Program Monthly'!$C$6:$C$509,AK$6,'W Program Monthly'!$E$6:$E$509,"TLI")</f>
        <v>226957.5</v>
      </c>
      <c r="AL22" s="163" t="n">
        <f aca="false">SUMIFS('W Program Monthly'!$N$6:$N$509,'W Program Monthly'!$C$6:$C$509,AL$6,'W Program Monthly'!$E$6:$E$509,"TLI")</f>
        <v>226957.5</v>
      </c>
      <c r="AM22" s="163" t="n">
        <f aca="false">SUMIFS('W Program Monthly'!$N$6:$N$509,'W Program Monthly'!$C$6:$C$509,AM$6,'W Program Monthly'!$E$6:$E$509,"TLI")</f>
        <v>226957.5</v>
      </c>
      <c r="AN22" s="163" t="n">
        <f aca="false">SUMIFS('W Program Monthly'!$N$6:$N$509,'W Program Monthly'!$C$6:$C$509,AN$6,'W Program Monthly'!$E$6:$E$509,"TLI")</f>
        <v>226957.5</v>
      </c>
      <c r="AO22" s="163" t="n">
        <f aca="false">SUMIFS('W Program Monthly'!$N$6:$N$509,'W Program Monthly'!$C$6:$C$509,AO$6,'W Program Monthly'!$E$6:$E$509,"TLI")</f>
        <v>226957.5</v>
      </c>
      <c r="AP22" s="163" t="n">
        <f aca="false">SUMIFS('W Program Monthly'!$N$6:$N$509,'W Program Monthly'!$C$6:$C$509,AP$6,'W Program Monthly'!$E$6:$E$509,"TLI")</f>
        <v>226957.5</v>
      </c>
      <c r="AQ22" s="163" t="n">
        <f aca="false">SUMIFS('W Program Monthly'!$N$6:$N$509,'W Program Monthly'!$C$6:$C$509,AQ$6,'W Program Monthly'!$E$6:$E$509,"TLI")</f>
        <v>226957.5</v>
      </c>
    </row>
    <row r="23" customFormat="false" ht="22.5" hidden="false" customHeight="true" outlineLevel="0" collapsed="false">
      <c r="C23" s="168" t="s">
        <v>1183</v>
      </c>
      <c r="D23" s="153" t="n">
        <f aca="false">SUM(H23:S23)</f>
        <v>191870</v>
      </c>
      <c r="E23" s="153" t="n">
        <f aca="false">SUM(T23:AE23)</f>
        <v>125880</v>
      </c>
      <c r="F23" s="153" t="n">
        <f aca="false">SUM(AF23:AQ23)</f>
        <v>129873.6</v>
      </c>
      <c r="G23" s="172"/>
      <c r="H23" s="163" t="n">
        <f aca="false">SUM(H9:H12)</f>
        <v>0</v>
      </c>
      <c r="I23" s="163" t="n">
        <f aca="false">SUM(I9:I12)</f>
        <v>90170</v>
      </c>
      <c r="J23" s="163" t="n">
        <f aca="false">SUM(J9:J12)</f>
        <v>10170</v>
      </c>
      <c r="K23" s="163" t="n">
        <f aca="false">SUM(K9:K12)</f>
        <v>10170</v>
      </c>
      <c r="L23" s="163" t="n">
        <f aca="false">SUM(L9:L12)</f>
        <v>10170</v>
      </c>
      <c r="M23" s="163" t="n">
        <f aca="false">SUM(M9:M12)</f>
        <v>10170</v>
      </c>
      <c r="N23" s="163" t="n">
        <f aca="false">SUM(N9:N12)</f>
        <v>10170</v>
      </c>
      <c r="O23" s="163" t="n">
        <f aca="false">SUM(O9:O12)</f>
        <v>10170</v>
      </c>
      <c r="P23" s="163" t="n">
        <f aca="false">SUM(P9:P12)</f>
        <v>10170</v>
      </c>
      <c r="Q23" s="163" t="n">
        <f aca="false">SUM(Q9:Q12)</f>
        <v>10170</v>
      </c>
      <c r="R23" s="163" t="n">
        <f aca="false">SUM(R9:R12)</f>
        <v>10170</v>
      </c>
      <c r="S23" s="163" t="n">
        <f aca="false">SUM(S9:S12)</f>
        <v>10170</v>
      </c>
      <c r="T23" s="163" t="n">
        <f aca="false">SUM(T9:T12)</f>
        <v>10490</v>
      </c>
      <c r="U23" s="163" t="n">
        <f aca="false">SUM(U9:U12)</f>
        <v>10490</v>
      </c>
      <c r="V23" s="163" t="n">
        <f aca="false">SUM(V9:V12)</f>
        <v>10490</v>
      </c>
      <c r="W23" s="163" t="n">
        <f aca="false">SUM(W9:W12)</f>
        <v>10490</v>
      </c>
      <c r="X23" s="163" t="n">
        <f aca="false">SUM(X9:X12)</f>
        <v>10490</v>
      </c>
      <c r="Y23" s="163" t="n">
        <f aca="false">SUM(Y9:Y12)</f>
        <v>10490</v>
      </c>
      <c r="Z23" s="163" t="n">
        <f aca="false">SUM(Z9:Z12)</f>
        <v>10490</v>
      </c>
      <c r="AA23" s="163" t="n">
        <f aca="false">SUM(AA9:AA12)</f>
        <v>10490</v>
      </c>
      <c r="AB23" s="163" t="n">
        <f aca="false">SUM(AB9:AB12)</f>
        <v>10490</v>
      </c>
      <c r="AC23" s="163" t="n">
        <f aca="false">SUM(AC9:AC12)</f>
        <v>10490</v>
      </c>
      <c r="AD23" s="163" t="n">
        <f aca="false">SUM(AD9:AD12)</f>
        <v>10490</v>
      </c>
      <c r="AE23" s="163" t="n">
        <f aca="false">SUM(AE9:AE12)</f>
        <v>10490</v>
      </c>
      <c r="AF23" s="163" t="n">
        <f aca="false">SUM(AF9:AF12)</f>
        <v>10822.8</v>
      </c>
      <c r="AG23" s="163" t="n">
        <f aca="false">SUM(AG9:AG12)</f>
        <v>10822.8</v>
      </c>
      <c r="AH23" s="163" t="n">
        <f aca="false">SUM(AH9:AH12)</f>
        <v>10822.8</v>
      </c>
      <c r="AI23" s="163" t="n">
        <f aca="false">SUM(AI9:AI12)</f>
        <v>10822.8</v>
      </c>
      <c r="AJ23" s="163" t="n">
        <f aca="false">SUM(AJ9:AJ12)</f>
        <v>10822.8</v>
      </c>
      <c r="AK23" s="163" t="n">
        <f aca="false">SUM(AK9:AK12)</f>
        <v>10822.8</v>
      </c>
      <c r="AL23" s="163" t="n">
        <f aca="false">SUM(AL9:AL12)</f>
        <v>10822.8</v>
      </c>
      <c r="AM23" s="163" t="n">
        <f aca="false">SUM(AM9:AM12)</f>
        <v>10822.8</v>
      </c>
      <c r="AN23" s="163" t="n">
        <f aca="false">SUM(AN9:AN12)</f>
        <v>10822.8</v>
      </c>
      <c r="AO23" s="163" t="n">
        <f aca="false">SUM(AO9:AO12)</f>
        <v>10822.8</v>
      </c>
      <c r="AP23" s="163" t="n">
        <f aca="false">SUM(AP9:AP12)</f>
        <v>10822.8</v>
      </c>
      <c r="AQ23" s="163" t="n">
        <f aca="false">SUM(AQ9:AQ12)</f>
        <v>10822.8</v>
      </c>
    </row>
    <row r="24" customFormat="false" ht="22.5" hidden="false" customHeight="true" outlineLevel="0" collapsed="false">
      <c r="C24" s="168" t="s">
        <v>1184</v>
      </c>
      <c r="D24" s="153" t="n">
        <f aca="false">SUM(H24:S24)</f>
        <v>0</v>
      </c>
      <c r="E24" s="153" t="n">
        <f aca="false">SUM(T24:AE24)</f>
        <v>0</v>
      </c>
      <c r="F24" s="153" t="n">
        <f aca="false">SUM(AF24:AQ24)</f>
        <v>0</v>
      </c>
      <c r="G24" s="172"/>
      <c r="H24" s="163" t="n">
        <f aca="false">H15</f>
        <v>0</v>
      </c>
      <c r="I24" s="163" t="n">
        <f aca="false">I15</f>
        <v>0</v>
      </c>
      <c r="J24" s="163" t="n">
        <f aca="false">J15</f>
        <v>0</v>
      </c>
      <c r="K24" s="163" t="n">
        <f aca="false">K15</f>
        <v>0</v>
      </c>
      <c r="L24" s="163" t="n">
        <f aca="false">L15</f>
        <v>0</v>
      </c>
      <c r="M24" s="163" t="n">
        <f aca="false">M15</f>
        <v>0</v>
      </c>
      <c r="N24" s="163" t="n">
        <f aca="false">N15</f>
        <v>0</v>
      </c>
      <c r="O24" s="163" t="n">
        <f aca="false">O15</f>
        <v>0</v>
      </c>
      <c r="P24" s="163" t="n">
        <f aca="false">P15</f>
        <v>0</v>
      </c>
      <c r="Q24" s="163" t="n">
        <f aca="false">Q15</f>
        <v>0</v>
      </c>
      <c r="R24" s="163" t="n">
        <f aca="false">R15</f>
        <v>0</v>
      </c>
      <c r="S24" s="163" t="n">
        <f aca="false">S15</f>
        <v>0</v>
      </c>
      <c r="T24" s="163" t="n">
        <f aca="false">T15</f>
        <v>0</v>
      </c>
      <c r="U24" s="163" t="n">
        <f aca="false">U15</f>
        <v>0</v>
      </c>
      <c r="V24" s="163" t="n">
        <f aca="false">V15</f>
        <v>0</v>
      </c>
      <c r="W24" s="163" t="n">
        <f aca="false">W15</f>
        <v>0</v>
      </c>
      <c r="X24" s="163" t="n">
        <f aca="false">X15</f>
        <v>0</v>
      </c>
      <c r="Y24" s="163" t="n">
        <f aca="false">Y15</f>
        <v>0</v>
      </c>
      <c r="Z24" s="163" t="n">
        <f aca="false">Z15</f>
        <v>0</v>
      </c>
      <c r="AA24" s="163" t="n">
        <f aca="false">AA15</f>
        <v>0</v>
      </c>
      <c r="AB24" s="163" t="n">
        <f aca="false">AB15</f>
        <v>0</v>
      </c>
      <c r="AC24" s="163" t="n">
        <f aca="false">AC15</f>
        <v>0</v>
      </c>
      <c r="AD24" s="163" t="n">
        <f aca="false">AD15</f>
        <v>0</v>
      </c>
      <c r="AE24" s="163" t="n">
        <f aca="false">AE15</f>
        <v>0</v>
      </c>
      <c r="AF24" s="163" t="n">
        <f aca="false">AF15</f>
        <v>0</v>
      </c>
      <c r="AG24" s="163" t="n">
        <f aca="false">AG15</f>
        <v>0</v>
      </c>
      <c r="AH24" s="163" t="n">
        <f aca="false">AH15</f>
        <v>0</v>
      </c>
      <c r="AI24" s="163" t="n">
        <f aca="false">AI15</f>
        <v>0</v>
      </c>
      <c r="AJ24" s="163" t="n">
        <f aca="false">AJ15</f>
        <v>0</v>
      </c>
      <c r="AK24" s="163" t="n">
        <f aca="false">AK15</f>
        <v>0</v>
      </c>
      <c r="AL24" s="163" t="n">
        <f aca="false">AL15</f>
        <v>0</v>
      </c>
      <c r="AM24" s="163" t="n">
        <f aca="false">AM15</f>
        <v>0</v>
      </c>
      <c r="AN24" s="163" t="n">
        <f aca="false">AN15</f>
        <v>0</v>
      </c>
      <c r="AO24" s="163" t="n">
        <f aca="false">AO15</f>
        <v>0</v>
      </c>
      <c r="AP24" s="163" t="n">
        <f aca="false">AP15</f>
        <v>0</v>
      </c>
      <c r="AQ24" s="163" t="n">
        <f aca="false">AQ15</f>
        <v>0</v>
      </c>
    </row>
    <row r="25" customFormat="false" ht="22.5" hidden="false" customHeight="true" outlineLevel="0" collapsed="false">
      <c r="C25" s="168" t="s">
        <v>1185</v>
      </c>
      <c r="D25" s="153" t="n">
        <f aca="false">SUM(H25:S25)</f>
        <v>187209.105263158</v>
      </c>
      <c r="E25" s="153" t="n">
        <f aca="false">SUM(T25:AE25)</f>
        <v>1374499.22807018</v>
      </c>
      <c r="F25" s="153" t="n">
        <f aca="false">SUM(AF25:AQ25)</f>
        <v>3631974.56666667</v>
      </c>
      <c r="G25" s="172"/>
      <c r="H25" s="163" t="n">
        <f aca="false">H21-SUM(H22:H24)</f>
        <v>0</v>
      </c>
      <c r="I25" s="163" t="n">
        <f aca="false">I21-SUM(I22:I24)</f>
        <v>-87763.8421052632</v>
      </c>
      <c r="J25" s="163" t="n">
        <f aca="false">J21-SUM(J22:J24)</f>
        <v>-7503.18421052632</v>
      </c>
      <c r="K25" s="163" t="n">
        <f aca="false">K21-SUM(K22:K24)</f>
        <v>4777.21052631578</v>
      </c>
      <c r="L25" s="163" t="n">
        <f aca="false">L21-SUM(L22:L24)</f>
        <v>17057.6052631579</v>
      </c>
      <c r="M25" s="163" t="n">
        <f aca="false">M21-SUM(M22:M24)</f>
        <v>26931.8421052631</v>
      </c>
      <c r="N25" s="163" t="n">
        <f aca="false">N21-SUM(N22:N24)</f>
        <v>38951.5789473684</v>
      </c>
      <c r="O25" s="163" t="n">
        <f aca="false">O21-SUM(O22:O24)</f>
        <v>38951.5789473684</v>
      </c>
      <c r="P25" s="163" t="n">
        <f aca="false">P21-SUM(P22:P24)</f>
        <v>38951.5789473684</v>
      </c>
      <c r="Q25" s="163" t="n">
        <f aca="false">Q21-SUM(Q22:Q24)</f>
        <v>38951.5789473684</v>
      </c>
      <c r="R25" s="163" t="n">
        <f aca="false">R21-SUM(R22:R24)</f>
        <v>38951.5789473684</v>
      </c>
      <c r="S25" s="163" t="n">
        <f aca="false">S21-SUM(S22:S24)</f>
        <v>38951.5789473684</v>
      </c>
      <c r="T25" s="163" t="n">
        <f aca="false">T21-SUM(T22:T24)</f>
        <v>63526.947368421</v>
      </c>
      <c r="U25" s="163" t="n">
        <f aca="false">U21-SUM(U22:U24)</f>
        <v>51038.947368421</v>
      </c>
      <c r="V25" s="163" t="n">
        <f aca="false">V21-SUM(V22:V24)</f>
        <v>125993.333333333</v>
      </c>
      <c r="W25" s="163" t="n">
        <f aca="false">W21-SUM(W22:W24)</f>
        <v>125993.333333333</v>
      </c>
      <c r="X25" s="163" t="n">
        <f aca="false">X21-SUM(X22:X24)</f>
        <v>125993.333333333</v>
      </c>
      <c r="Y25" s="163" t="n">
        <f aca="false">Y21-SUM(Y22:Y24)</f>
        <v>125993.333333333</v>
      </c>
      <c r="Z25" s="163" t="n">
        <f aca="false">Z21-SUM(Z22:Z24)</f>
        <v>125993.333333333</v>
      </c>
      <c r="AA25" s="163" t="n">
        <f aca="false">AA21-SUM(AA22:AA24)</f>
        <v>125993.333333333</v>
      </c>
      <c r="AB25" s="163" t="n">
        <f aca="false">AB21-SUM(AB22:AB24)</f>
        <v>125993.333333333</v>
      </c>
      <c r="AC25" s="163" t="n">
        <f aca="false">AC21-SUM(AC22:AC24)</f>
        <v>125993.333333333</v>
      </c>
      <c r="AD25" s="163" t="n">
        <f aca="false">AD21-SUM(AD22:AD24)</f>
        <v>125993.333333333</v>
      </c>
      <c r="AE25" s="163" t="n">
        <f aca="false">AE21-SUM(AE22:AE24)</f>
        <v>125993.333333333</v>
      </c>
      <c r="AF25" s="163" t="n">
        <f aca="false">AF21-SUM(AF22:AF24)</f>
        <v>200799.533333333</v>
      </c>
      <c r="AG25" s="163" t="n">
        <f aca="false">AG21-SUM(AG22:AG24)</f>
        <v>176478.033333333</v>
      </c>
      <c r="AH25" s="163" t="n">
        <f aca="false">AH21-SUM(AH22:AH24)</f>
        <v>325469.7</v>
      </c>
      <c r="AI25" s="163" t="n">
        <f aca="false">AI21-SUM(AI22:AI24)</f>
        <v>325469.7</v>
      </c>
      <c r="AJ25" s="163" t="n">
        <f aca="false">AJ21-SUM(AJ22:AJ24)</f>
        <v>325469.7</v>
      </c>
      <c r="AK25" s="163" t="n">
        <f aca="false">AK21-SUM(AK22:AK24)</f>
        <v>325469.7</v>
      </c>
      <c r="AL25" s="163" t="n">
        <f aca="false">AL21-SUM(AL22:AL24)</f>
        <v>325469.7</v>
      </c>
      <c r="AM25" s="163" t="n">
        <f aca="false">AM21-SUM(AM22:AM24)</f>
        <v>325469.7</v>
      </c>
      <c r="AN25" s="163" t="n">
        <f aca="false">AN21-SUM(AN22:AN24)</f>
        <v>325469.7</v>
      </c>
      <c r="AO25" s="163" t="n">
        <f aca="false">AO21-SUM(AO22:AO24)</f>
        <v>325469.7</v>
      </c>
      <c r="AP25" s="163" t="n">
        <f aca="false">AP21-SUM(AP22:AP24)</f>
        <v>325469.7</v>
      </c>
      <c r="AQ25" s="163" t="n">
        <f aca="false">AQ21-SUM(AQ22:AQ24)</f>
        <v>325469.7</v>
      </c>
    </row>
    <row r="26" customFormat="false" ht="22.5" hidden="false" customHeight="true" outlineLevel="0" collapsed="false">
      <c r="C26" s="168" t="s">
        <v>1186</v>
      </c>
      <c r="D26" s="153" t="n">
        <f aca="false">S26</f>
        <v>187209.105263158</v>
      </c>
      <c r="E26" s="153" t="n">
        <f aca="false">AE26</f>
        <v>1561708.33333333</v>
      </c>
      <c r="F26" s="153" t="n">
        <f aca="false">AQ26</f>
        <v>5193682.9</v>
      </c>
      <c r="G26" s="172"/>
      <c r="H26" s="163" t="n">
        <f aca="false">H25</f>
        <v>0</v>
      </c>
      <c r="I26" s="163" t="n">
        <f aca="false">H26+I25</f>
        <v>-87763.8421052632</v>
      </c>
      <c r="J26" s="163" t="n">
        <f aca="false">I26+J25</f>
        <v>-95267.0263157895</v>
      </c>
      <c r="K26" s="163" t="n">
        <f aca="false">J26+K25</f>
        <v>-90489.8157894737</v>
      </c>
      <c r="L26" s="163" t="n">
        <f aca="false">K26+L25</f>
        <v>-73432.2105263158</v>
      </c>
      <c r="M26" s="163" t="n">
        <f aca="false">L26+M25</f>
        <v>-46500.3684210527</v>
      </c>
      <c r="N26" s="163" t="n">
        <f aca="false">M26+N25</f>
        <v>-7548.78947368427</v>
      </c>
      <c r="O26" s="163" t="n">
        <f aca="false">N26+O25</f>
        <v>31402.7894736841</v>
      </c>
      <c r="P26" s="163" t="n">
        <f aca="false">O26+P25</f>
        <v>70354.3684210526</v>
      </c>
      <c r="Q26" s="163" t="n">
        <f aca="false">P26+Q25</f>
        <v>109305.947368421</v>
      </c>
      <c r="R26" s="163" t="n">
        <f aca="false">Q26+R25</f>
        <v>148257.526315789</v>
      </c>
      <c r="S26" s="163" t="n">
        <f aca="false">R26+S25</f>
        <v>187209.105263158</v>
      </c>
      <c r="T26" s="163" t="n">
        <f aca="false">S26+T25</f>
        <v>250736.052631579</v>
      </c>
      <c r="U26" s="163" t="n">
        <f aca="false">T26+U25</f>
        <v>301775</v>
      </c>
      <c r="V26" s="163" t="n">
        <f aca="false">U26+V25</f>
        <v>427768.333333333</v>
      </c>
      <c r="W26" s="163" t="n">
        <f aca="false">V26+W25</f>
        <v>553761.666666667</v>
      </c>
      <c r="X26" s="163" t="n">
        <f aca="false">W26+X25</f>
        <v>679755</v>
      </c>
      <c r="Y26" s="163" t="n">
        <f aca="false">X26+Y25</f>
        <v>805748.333333333</v>
      </c>
      <c r="Z26" s="163" t="n">
        <f aca="false">Y26+Z25</f>
        <v>931741.666666667</v>
      </c>
      <c r="AA26" s="163" t="n">
        <f aca="false">Z26+AA25</f>
        <v>1057735</v>
      </c>
      <c r="AB26" s="163" t="n">
        <f aca="false">AA26+AB25</f>
        <v>1183728.33333333</v>
      </c>
      <c r="AC26" s="163" t="n">
        <f aca="false">AB26+AC25</f>
        <v>1309721.66666667</v>
      </c>
      <c r="AD26" s="163" t="n">
        <f aca="false">AC26+AD25</f>
        <v>1435715</v>
      </c>
      <c r="AE26" s="163" t="n">
        <f aca="false">AD26+AE25</f>
        <v>1561708.33333333</v>
      </c>
      <c r="AF26" s="163" t="n">
        <f aca="false">AE26+AF25</f>
        <v>1762507.86666667</v>
      </c>
      <c r="AG26" s="163" t="n">
        <f aca="false">AF26+AG25</f>
        <v>1938985.9</v>
      </c>
      <c r="AH26" s="163" t="n">
        <f aca="false">AG26+AH25</f>
        <v>2264455.6</v>
      </c>
      <c r="AI26" s="163" t="n">
        <f aca="false">AH26+AI25</f>
        <v>2589925.3</v>
      </c>
      <c r="AJ26" s="163" t="n">
        <f aca="false">AI26+AJ25</f>
        <v>2915395</v>
      </c>
      <c r="AK26" s="163" t="n">
        <f aca="false">AJ26+AK25</f>
        <v>3240864.7</v>
      </c>
      <c r="AL26" s="163" t="n">
        <f aca="false">AK26+AL25</f>
        <v>3566334.4</v>
      </c>
      <c r="AM26" s="163" t="n">
        <f aca="false">AL26+AM25</f>
        <v>3891804.1</v>
      </c>
      <c r="AN26" s="163" t="n">
        <f aca="false">AM26+AN25</f>
        <v>4217273.8</v>
      </c>
      <c r="AO26" s="163" t="n">
        <f aca="false">AN26+AO25</f>
        <v>4542743.5</v>
      </c>
      <c r="AP26" s="163" t="n">
        <f aca="false">AO26+AP25</f>
        <v>4868213.2</v>
      </c>
      <c r="AQ26" s="163" t="n">
        <f aca="false">AP26+AQ25</f>
        <v>5193682.9</v>
      </c>
    </row>
    <row r="27" customFormat="false" ht="22.5" hidden="false" customHeight="true" outlineLevel="0" collapsed="false">
      <c r="C27" s="168" t="s">
        <v>1187</v>
      </c>
      <c r="D27" s="153" t="n">
        <f aca="false">H27</f>
        <v>0</v>
      </c>
      <c r="E27" s="153" t="n">
        <f aca="false">T27</f>
        <v>137392.5</v>
      </c>
      <c r="F27" s="153" t="n">
        <f aca="false">AF27</f>
        <v>824656.25</v>
      </c>
      <c r="G27" s="172"/>
      <c r="H27" s="163" t="n">
        <f aca="false">0</f>
        <v>0</v>
      </c>
      <c r="I27" s="163" t="n">
        <f aca="false">H30</f>
        <v>0</v>
      </c>
      <c r="J27" s="163" t="n">
        <f aca="false">I30</f>
        <v>-77889.6052631579</v>
      </c>
      <c r="K27" s="163" t="n">
        <f aca="false">J30</f>
        <v>-63498.8157894737</v>
      </c>
      <c r="L27" s="163" t="n">
        <f aca="false">K30</f>
        <v>-36827.6315789474</v>
      </c>
      <c r="M27" s="163" t="n">
        <f aca="false">L30</f>
        <v>2123.94736842103</v>
      </c>
      <c r="N27" s="163" t="n">
        <f aca="false">M30</f>
        <v>41075.5263157894</v>
      </c>
      <c r="O27" s="163" t="n">
        <f aca="false">N30</f>
        <v>80027.1052631579</v>
      </c>
      <c r="P27" s="163" t="n">
        <f aca="false">O30</f>
        <v>118978.684210526</v>
      </c>
      <c r="Q27" s="163" t="n">
        <f aca="false">P30</f>
        <v>157930.263157895</v>
      </c>
      <c r="R27" s="163" t="n">
        <f aca="false">Q30</f>
        <v>196881.842105263</v>
      </c>
      <c r="S27" s="163" t="n">
        <f aca="false">R30</f>
        <v>235833.421052632</v>
      </c>
      <c r="T27" s="163" t="n">
        <f aca="false">S30</f>
        <v>137392.5</v>
      </c>
      <c r="U27" s="163" t="n">
        <f aca="false">T30</f>
        <v>263385.833333333</v>
      </c>
      <c r="V27" s="163" t="n">
        <f aca="false">U30</f>
        <v>389379.166666667</v>
      </c>
      <c r="W27" s="163" t="n">
        <f aca="false">V30</f>
        <v>515372.5</v>
      </c>
      <c r="X27" s="163" t="n">
        <f aca="false">W30</f>
        <v>641365.833333333</v>
      </c>
      <c r="Y27" s="163" t="n">
        <f aca="false">X30</f>
        <v>767359.166666667</v>
      </c>
      <c r="Z27" s="163" t="n">
        <f aca="false">Y30</f>
        <v>893352.5</v>
      </c>
      <c r="AA27" s="163" t="n">
        <f aca="false">Z30</f>
        <v>1019345.83333333</v>
      </c>
      <c r="AB27" s="163" t="n">
        <f aca="false">AA30</f>
        <v>1145339.16666667</v>
      </c>
      <c r="AC27" s="163" t="n">
        <f aca="false">AB30</f>
        <v>1271332.5</v>
      </c>
      <c r="AD27" s="163" t="n">
        <f aca="false">AC30</f>
        <v>1397325.83333333</v>
      </c>
      <c r="AE27" s="163" t="n">
        <f aca="false">AD30</f>
        <v>1523319.16666667</v>
      </c>
      <c r="AF27" s="163" t="n">
        <f aca="false">AE30</f>
        <v>824656.25</v>
      </c>
      <c r="AG27" s="163" t="n">
        <f aca="false">AF30</f>
        <v>1150125.95</v>
      </c>
      <c r="AH27" s="163" t="n">
        <f aca="false">AG30</f>
        <v>1475595.65</v>
      </c>
      <c r="AI27" s="163" t="n">
        <f aca="false">AH30</f>
        <v>1801065.35</v>
      </c>
      <c r="AJ27" s="163" t="n">
        <f aca="false">AI30</f>
        <v>2126535.05</v>
      </c>
      <c r="AK27" s="163" t="n">
        <f aca="false">AJ30</f>
        <v>2452004.75</v>
      </c>
      <c r="AL27" s="163" t="n">
        <f aca="false">AK30</f>
        <v>2777474.45</v>
      </c>
      <c r="AM27" s="163" t="n">
        <f aca="false">AL30</f>
        <v>3102944.15</v>
      </c>
      <c r="AN27" s="163" t="n">
        <f aca="false">AM30</f>
        <v>3428413.85</v>
      </c>
      <c r="AO27" s="163" t="n">
        <f aca="false">AN30</f>
        <v>3753883.55</v>
      </c>
      <c r="AP27" s="163" t="n">
        <f aca="false">AO30</f>
        <v>4079353.25</v>
      </c>
      <c r="AQ27" s="163" t="n">
        <f aca="false">AP30</f>
        <v>4404822.95</v>
      </c>
    </row>
    <row r="28" customFormat="false" ht="22.5" hidden="false" customHeight="true" outlineLevel="0" collapsed="false">
      <c r="C28" s="168" t="s">
        <v>1188</v>
      </c>
      <c r="D28" s="153" t="n">
        <f aca="false">SUM(H28:S28)</f>
        <v>274785</v>
      </c>
      <c r="E28" s="153" t="n">
        <f aca="false">SUM(T28:AE28)</f>
        <v>1511920</v>
      </c>
      <c r="F28" s="153" t="n">
        <f aca="false">SUM(AF28:AQ28)</f>
        <v>3905636.4</v>
      </c>
      <c r="G28" s="172"/>
      <c r="H28" s="163" t="n">
        <f aca="false">H16</f>
        <v>0</v>
      </c>
      <c r="I28" s="163" t="n">
        <f aca="false">I16</f>
        <v>-77889.6052631579</v>
      </c>
      <c r="J28" s="163" t="n">
        <f aca="false">J16</f>
        <v>14390.7894736842</v>
      </c>
      <c r="K28" s="163" t="n">
        <f aca="false">K16</f>
        <v>26671.1842105263</v>
      </c>
      <c r="L28" s="163" t="n">
        <f aca="false">L16</f>
        <v>38951.5789473684</v>
      </c>
      <c r="M28" s="163" t="n">
        <f aca="false">M16</f>
        <v>38951.5789473684</v>
      </c>
      <c r="N28" s="163" t="n">
        <f aca="false">N16</f>
        <v>38951.5789473684</v>
      </c>
      <c r="O28" s="163" t="n">
        <f aca="false">O16</f>
        <v>38951.5789473684</v>
      </c>
      <c r="P28" s="163" t="n">
        <f aca="false">P16</f>
        <v>38951.5789473684</v>
      </c>
      <c r="Q28" s="163" t="n">
        <f aca="false">Q16</f>
        <v>38951.5789473684</v>
      </c>
      <c r="R28" s="163" t="n">
        <f aca="false">R16</f>
        <v>38951.5789473684</v>
      </c>
      <c r="S28" s="163" t="n">
        <f aca="false">S16</f>
        <v>38951.5789473684</v>
      </c>
      <c r="T28" s="163" t="n">
        <f aca="false">T16</f>
        <v>125993.333333333</v>
      </c>
      <c r="U28" s="163" t="n">
        <f aca="false">U16</f>
        <v>125993.333333333</v>
      </c>
      <c r="V28" s="163" t="n">
        <f aca="false">V16</f>
        <v>125993.333333333</v>
      </c>
      <c r="W28" s="163" t="n">
        <f aca="false">W16</f>
        <v>125993.333333333</v>
      </c>
      <c r="X28" s="163" t="n">
        <f aca="false">X16</f>
        <v>125993.333333333</v>
      </c>
      <c r="Y28" s="163" t="n">
        <f aca="false">Y16</f>
        <v>125993.333333333</v>
      </c>
      <c r="Z28" s="163" t="n">
        <f aca="false">Z16</f>
        <v>125993.333333333</v>
      </c>
      <c r="AA28" s="163" t="n">
        <f aca="false">AA16</f>
        <v>125993.333333333</v>
      </c>
      <c r="AB28" s="163" t="n">
        <f aca="false">AB16</f>
        <v>125993.333333333</v>
      </c>
      <c r="AC28" s="163" t="n">
        <f aca="false">AC16</f>
        <v>125993.333333333</v>
      </c>
      <c r="AD28" s="163" t="n">
        <f aca="false">AD16</f>
        <v>125993.333333333</v>
      </c>
      <c r="AE28" s="163" t="n">
        <f aca="false">AE16</f>
        <v>125993.333333333</v>
      </c>
      <c r="AF28" s="163" t="n">
        <f aca="false">AF16</f>
        <v>325469.7</v>
      </c>
      <c r="AG28" s="163" t="n">
        <f aca="false">AG16</f>
        <v>325469.7</v>
      </c>
      <c r="AH28" s="163" t="n">
        <f aca="false">AH16</f>
        <v>325469.7</v>
      </c>
      <c r="AI28" s="163" t="n">
        <f aca="false">AI16</f>
        <v>325469.7</v>
      </c>
      <c r="AJ28" s="163" t="n">
        <f aca="false">AJ16</f>
        <v>325469.7</v>
      </c>
      <c r="AK28" s="163" t="n">
        <f aca="false">AK16</f>
        <v>325469.7</v>
      </c>
      <c r="AL28" s="163" t="n">
        <f aca="false">AL16</f>
        <v>325469.7</v>
      </c>
      <c r="AM28" s="163" t="n">
        <f aca="false">AM16</f>
        <v>325469.7</v>
      </c>
      <c r="AN28" s="163" t="n">
        <f aca="false">AN16</f>
        <v>325469.7</v>
      </c>
      <c r="AO28" s="163" t="n">
        <f aca="false">AO16</f>
        <v>325469.7</v>
      </c>
      <c r="AP28" s="163" t="n">
        <f aca="false">AP16</f>
        <v>325469.7</v>
      </c>
      <c r="AQ28" s="163" t="n">
        <f aca="false">AQ16</f>
        <v>325469.7</v>
      </c>
    </row>
    <row r="29" customFormat="false" ht="22.5" hidden="false" customHeight="true" outlineLevel="0" collapsed="false">
      <c r="C29" s="173" t="s">
        <v>1189</v>
      </c>
      <c r="D29" s="174" t="n">
        <f aca="false">SUM(H29:S29)</f>
        <v>137392.5</v>
      </c>
      <c r="E29" s="174" t="n">
        <f aca="false">SUM(T29:AE29)</f>
        <v>824656.25</v>
      </c>
      <c r="F29" s="174" t="n">
        <f aca="false">SUM(AF29:AQ29)</f>
        <v>2365146.325</v>
      </c>
      <c r="G29" s="172"/>
      <c r="H29" s="163" t="n">
        <f aca="false">0</f>
        <v>0</v>
      </c>
      <c r="I29" s="163" t="n">
        <f aca="false">0</f>
        <v>0</v>
      </c>
      <c r="J29" s="163" t="n">
        <f aca="false">0</f>
        <v>0</v>
      </c>
      <c r="K29" s="163" t="n">
        <f aca="false">0</f>
        <v>0</v>
      </c>
      <c r="L29" s="163" t="n">
        <f aca="false">0</f>
        <v>0</v>
      </c>
      <c r="M29" s="163" t="n">
        <f aca="false">0</f>
        <v>0</v>
      </c>
      <c r="N29" s="163" t="n">
        <f aca="false">0</f>
        <v>0</v>
      </c>
      <c r="O29" s="163" t="n">
        <f aca="false">0</f>
        <v>0</v>
      </c>
      <c r="P29" s="163" t="n">
        <f aca="false">0</f>
        <v>0</v>
      </c>
      <c r="Q29" s="163" t="n">
        <f aca="false">0</f>
        <v>0</v>
      </c>
      <c r="R29" s="163" t="n">
        <f aca="false">0</f>
        <v>0</v>
      </c>
      <c r="S29" s="163" t="n">
        <f aca="false">MIN(MAX(0,SUM(S27:S28))*'W Assumptions'!D128,S43)</f>
        <v>137392.5</v>
      </c>
      <c r="T29" s="163" t="n">
        <f aca="false">0</f>
        <v>0</v>
      </c>
      <c r="U29" s="163" t="n">
        <f aca="false">0</f>
        <v>0</v>
      </c>
      <c r="V29" s="163" t="n">
        <f aca="false">0</f>
        <v>0</v>
      </c>
      <c r="W29" s="163" t="n">
        <f aca="false">0</f>
        <v>0</v>
      </c>
      <c r="X29" s="163" t="n">
        <f aca="false">0</f>
        <v>0</v>
      </c>
      <c r="Y29" s="163" t="n">
        <f aca="false">0</f>
        <v>0</v>
      </c>
      <c r="Z29" s="163" t="n">
        <f aca="false">0</f>
        <v>0</v>
      </c>
      <c r="AA29" s="163" t="n">
        <f aca="false">0</f>
        <v>0</v>
      </c>
      <c r="AB29" s="163" t="n">
        <f aca="false">0</f>
        <v>0</v>
      </c>
      <c r="AC29" s="163" t="n">
        <f aca="false">0</f>
        <v>0</v>
      </c>
      <c r="AD29" s="163" t="n">
        <f aca="false">0</f>
        <v>0</v>
      </c>
      <c r="AE29" s="163" t="n">
        <f aca="false">MIN(MAX(0,SUM(AE27:AE28))*'W Assumptions'!E128,AE43)</f>
        <v>824656.25</v>
      </c>
      <c r="AF29" s="163" t="n">
        <f aca="false">0</f>
        <v>0</v>
      </c>
      <c r="AG29" s="163" t="n">
        <f aca="false">0</f>
        <v>0</v>
      </c>
      <c r="AH29" s="163" t="n">
        <f aca="false">0</f>
        <v>0</v>
      </c>
      <c r="AI29" s="163" t="n">
        <f aca="false">0</f>
        <v>0</v>
      </c>
      <c r="AJ29" s="163" t="n">
        <f aca="false">0</f>
        <v>0</v>
      </c>
      <c r="AK29" s="163" t="n">
        <f aca="false">0</f>
        <v>0</v>
      </c>
      <c r="AL29" s="163" t="n">
        <f aca="false">0</f>
        <v>0</v>
      </c>
      <c r="AM29" s="163" t="n">
        <f aca="false">0</f>
        <v>0</v>
      </c>
      <c r="AN29" s="163" t="n">
        <f aca="false">0</f>
        <v>0</v>
      </c>
      <c r="AO29" s="163" t="n">
        <f aca="false">0</f>
        <v>0</v>
      </c>
      <c r="AP29" s="163" t="n">
        <f aca="false">0</f>
        <v>0</v>
      </c>
      <c r="AQ29" s="163" t="n">
        <f aca="false">MIN(MAX(0,SUM(AQ27:AQ28))*'W Assumptions'!F128,AQ43)</f>
        <v>2365146.325</v>
      </c>
    </row>
    <row r="30" customFormat="false" ht="22.5" hidden="false" customHeight="true" outlineLevel="0" collapsed="false">
      <c r="C30" s="173" t="s">
        <v>1190</v>
      </c>
      <c r="D30" s="174" t="n">
        <f aca="false">S30</f>
        <v>137392.5</v>
      </c>
      <c r="E30" s="174" t="n">
        <f aca="false">AE30</f>
        <v>824656.25</v>
      </c>
      <c r="F30" s="174" t="n">
        <f aca="false">AQ30</f>
        <v>2365146.325</v>
      </c>
      <c r="G30" s="172"/>
      <c r="H30" s="163" t="n">
        <f aca="false">SUM(H27:H28)-H29</f>
        <v>0</v>
      </c>
      <c r="I30" s="163" t="n">
        <f aca="false">SUM(I27:I28)-I29</f>
        <v>-77889.6052631579</v>
      </c>
      <c r="J30" s="163" t="n">
        <f aca="false">SUM(J27:J28)-J29</f>
        <v>-63498.8157894737</v>
      </c>
      <c r="K30" s="163" t="n">
        <f aca="false">SUM(K27:K28)-K29</f>
        <v>-36827.6315789474</v>
      </c>
      <c r="L30" s="163" t="n">
        <f aca="false">SUM(L27:L28)-L29</f>
        <v>2123.94736842103</v>
      </c>
      <c r="M30" s="163" t="n">
        <f aca="false">SUM(M27:M28)-M29</f>
        <v>41075.5263157894</v>
      </c>
      <c r="N30" s="163" t="n">
        <f aca="false">SUM(N27:N28)-N29</f>
        <v>80027.1052631579</v>
      </c>
      <c r="O30" s="163" t="n">
        <f aca="false">SUM(O27:O28)-O29</f>
        <v>118978.684210526</v>
      </c>
      <c r="P30" s="163" t="n">
        <f aca="false">SUM(P27:P28)-P29</f>
        <v>157930.263157895</v>
      </c>
      <c r="Q30" s="163" t="n">
        <f aca="false">SUM(Q27:Q28)-Q29</f>
        <v>196881.842105263</v>
      </c>
      <c r="R30" s="163" t="n">
        <f aca="false">SUM(R27:R28)-R29</f>
        <v>235833.421052632</v>
      </c>
      <c r="S30" s="163" t="n">
        <f aca="false">SUM(S27:S28)-S29</f>
        <v>137392.5</v>
      </c>
      <c r="T30" s="163" t="n">
        <f aca="false">SUM(T27:T28)-T29</f>
        <v>263385.833333333</v>
      </c>
      <c r="U30" s="163" t="n">
        <f aca="false">SUM(U27:U28)-U29</f>
        <v>389379.166666667</v>
      </c>
      <c r="V30" s="163" t="n">
        <f aca="false">SUM(V27:V28)-V29</f>
        <v>515372.5</v>
      </c>
      <c r="W30" s="163" t="n">
        <f aca="false">SUM(W27:W28)-W29</f>
        <v>641365.833333333</v>
      </c>
      <c r="X30" s="163" t="n">
        <f aca="false">SUM(X27:X28)-X29</f>
        <v>767359.166666667</v>
      </c>
      <c r="Y30" s="163" t="n">
        <f aca="false">SUM(Y27:Y28)-Y29</f>
        <v>893352.5</v>
      </c>
      <c r="Z30" s="163" t="n">
        <f aca="false">SUM(Z27:Z28)-Z29</f>
        <v>1019345.83333333</v>
      </c>
      <c r="AA30" s="163" t="n">
        <f aca="false">SUM(AA27:AA28)-AA29</f>
        <v>1145339.16666667</v>
      </c>
      <c r="AB30" s="163" t="n">
        <f aca="false">SUM(AB27:AB28)-AB29</f>
        <v>1271332.5</v>
      </c>
      <c r="AC30" s="163" t="n">
        <f aca="false">SUM(AC27:AC28)-AC29</f>
        <v>1397325.83333333</v>
      </c>
      <c r="AD30" s="163" t="n">
        <f aca="false">SUM(AD27:AD28)-AD29</f>
        <v>1523319.16666667</v>
      </c>
      <c r="AE30" s="163" t="n">
        <f aca="false">SUM(AE27:AE28)-AE29</f>
        <v>824656.25</v>
      </c>
      <c r="AF30" s="163" t="n">
        <f aca="false">SUM(AF27:AF28)-AF29</f>
        <v>1150125.95</v>
      </c>
      <c r="AG30" s="163" t="n">
        <f aca="false">SUM(AG27:AG28)-AG29</f>
        <v>1475595.65</v>
      </c>
      <c r="AH30" s="163" t="n">
        <f aca="false">SUM(AH27:AH28)-AH29</f>
        <v>1801065.35</v>
      </c>
      <c r="AI30" s="163" t="n">
        <f aca="false">SUM(AI27:AI28)-AI29</f>
        <v>2126535.05</v>
      </c>
      <c r="AJ30" s="163" t="n">
        <f aca="false">SUM(AJ27:AJ28)-AJ29</f>
        <v>2452004.75</v>
      </c>
      <c r="AK30" s="163" t="n">
        <f aca="false">SUM(AK27:AK28)-AK29</f>
        <v>2777474.45</v>
      </c>
      <c r="AL30" s="163" t="n">
        <f aca="false">SUM(AL27:AL28)-AL29</f>
        <v>3102944.15</v>
      </c>
      <c r="AM30" s="163" t="n">
        <f aca="false">SUM(AM27:AM28)-AM29</f>
        <v>3428413.85</v>
      </c>
      <c r="AN30" s="163" t="n">
        <f aca="false">SUM(AN27:AN28)-AN29</f>
        <v>3753883.55</v>
      </c>
      <c r="AO30" s="163" t="n">
        <f aca="false">SUM(AO27:AO28)-AO29</f>
        <v>4079353.25</v>
      </c>
      <c r="AP30" s="163" t="n">
        <f aca="false">SUM(AP27:AP28)-AP29</f>
        <v>4404822.95</v>
      </c>
      <c r="AQ30" s="163" t="n">
        <f aca="false">SUM(AQ27:AQ28)-AQ29</f>
        <v>2365146.325</v>
      </c>
    </row>
    <row r="31" customFormat="false" ht="22.5" hidden="false" customHeight="true" outlineLevel="0" collapsed="false">
      <c r="C31" s="168" t="s">
        <v>1191</v>
      </c>
      <c r="D31" s="153" t="n">
        <f aca="false">H31</f>
        <v>0</v>
      </c>
      <c r="E31" s="153" t="n">
        <f aca="false">T31</f>
        <v>187209.105263158</v>
      </c>
      <c r="F31" s="153" t="n">
        <f aca="false">AF31</f>
        <v>1424315.83333333</v>
      </c>
      <c r="G31" s="172"/>
      <c r="H31" s="163" t="n">
        <f aca="false">0</f>
        <v>0</v>
      </c>
      <c r="I31" s="163" t="n">
        <f aca="false">H34</f>
        <v>0</v>
      </c>
      <c r="J31" s="163" t="n">
        <f aca="false">I34</f>
        <v>-87763.8421052632</v>
      </c>
      <c r="K31" s="163" t="n">
        <f aca="false">J34</f>
        <v>-95267.0263157895</v>
      </c>
      <c r="L31" s="163" t="n">
        <f aca="false">K34</f>
        <v>-90489.8157894737</v>
      </c>
      <c r="M31" s="163" t="n">
        <f aca="false">L34</f>
        <v>-73432.2105263158</v>
      </c>
      <c r="N31" s="163" t="n">
        <f aca="false">M34</f>
        <v>-46500.3684210527</v>
      </c>
      <c r="O31" s="163" t="n">
        <f aca="false">N34</f>
        <v>-7548.78947368427</v>
      </c>
      <c r="P31" s="163" t="n">
        <f aca="false">O34</f>
        <v>31402.7894736841</v>
      </c>
      <c r="Q31" s="163" t="n">
        <f aca="false">P34</f>
        <v>70354.3684210526</v>
      </c>
      <c r="R31" s="163" t="n">
        <f aca="false">Q34</f>
        <v>109305.947368421</v>
      </c>
      <c r="S31" s="163" t="n">
        <f aca="false">R34</f>
        <v>148257.526315789</v>
      </c>
      <c r="T31" s="163" t="n">
        <f aca="false">S34</f>
        <v>187209.105263158</v>
      </c>
      <c r="U31" s="163" t="n">
        <f aca="false">T34</f>
        <v>250736.052631579</v>
      </c>
      <c r="V31" s="163" t="n">
        <f aca="false">U34</f>
        <v>301775</v>
      </c>
      <c r="W31" s="163" t="n">
        <f aca="false">V34</f>
        <v>290375.833333333</v>
      </c>
      <c r="X31" s="163" t="n">
        <f aca="false">W34</f>
        <v>416369.166666667</v>
      </c>
      <c r="Y31" s="163" t="n">
        <f aca="false">X34</f>
        <v>542362.5</v>
      </c>
      <c r="Z31" s="163" t="n">
        <f aca="false">Y34</f>
        <v>668355.833333333</v>
      </c>
      <c r="AA31" s="163" t="n">
        <f aca="false">Z34</f>
        <v>794349.166666667</v>
      </c>
      <c r="AB31" s="163" t="n">
        <f aca="false">AA34</f>
        <v>920342.5</v>
      </c>
      <c r="AC31" s="163" t="n">
        <f aca="false">AB34</f>
        <v>1046335.83333333</v>
      </c>
      <c r="AD31" s="163" t="n">
        <f aca="false">AC34</f>
        <v>1172329.16666667</v>
      </c>
      <c r="AE31" s="163" t="n">
        <f aca="false">AD34</f>
        <v>1298322.5</v>
      </c>
      <c r="AF31" s="163" t="n">
        <f aca="false">AE34</f>
        <v>1424315.83333333</v>
      </c>
      <c r="AG31" s="163" t="n">
        <f aca="false">AF34</f>
        <v>1625115.36666667</v>
      </c>
      <c r="AH31" s="163" t="n">
        <f aca="false">AG34</f>
        <v>1801593.4</v>
      </c>
      <c r="AI31" s="163" t="n">
        <f aca="false">AH34</f>
        <v>1302406.85</v>
      </c>
      <c r="AJ31" s="163" t="n">
        <f aca="false">AI34</f>
        <v>1627876.55</v>
      </c>
      <c r="AK31" s="163" t="n">
        <f aca="false">AJ34</f>
        <v>1953346.25</v>
      </c>
      <c r="AL31" s="163" t="n">
        <f aca="false">AK34</f>
        <v>2278815.95</v>
      </c>
      <c r="AM31" s="163" t="n">
        <f aca="false">AL34</f>
        <v>2604285.65</v>
      </c>
      <c r="AN31" s="163" t="n">
        <f aca="false">AM34</f>
        <v>2929755.35</v>
      </c>
      <c r="AO31" s="163" t="n">
        <f aca="false">AN34</f>
        <v>3255225.05</v>
      </c>
      <c r="AP31" s="163" t="n">
        <f aca="false">AO34</f>
        <v>3580694.75</v>
      </c>
      <c r="AQ31" s="163" t="n">
        <f aca="false">AP34</f>
        <v>3906164.45</v>
      </c>
    </row>
    <row r="32" customFormat="false" ht="22.5" hidden="false" customHeight="true" outlineLevel="0" collapsed="false">
      <c r="C32" s="168" t="s">
        <v>1192</v>
      </c>
      <c r="D32" s="153" t="n">
        <f aca="false">S32</f>
        <v>20340</v>
      </c>
      <c r="E32" s="153" t="n">
        <f aca="false">AE32</f>
        <v>20980</v>
      </c>
      <c r="F32" s="153" t="n">
        <f aca="false">AQ32</f>
        <v>21645.6</v>
      </c>
      <c r="G32" s="172"/>
      <c r="H32" s="163" t="n">
        <f aca="false">SUM(H10,H12)*'W Assumptions'!D130</f>
        <v>0</v>
      </c>
      <c r="I32" s="163" t="n">
        <f aca="false">SUM(I10,I12)*'W Assumptions'!D130</f>
        <v>20340</v>
      </c>
      <c r="J32" s="163" t="n">
        <f aca="false">SUM(J10,J12)*'W Assumptions'!D130</f>
        <v>20340</v>
      </c>
      <c r="K32" s="163" t="n">
        <f aca="false">SUM(K10,K12)*'W Assumptions'!D130</f>
        <v>20340</v>
      </c>
      <c r="L32" s="163" t="n">
        <f aca="false">SUM(L10,L12)*'W Assumptions'!D130</f>
        <v>20340</v>
      </c>
      <c r="M32" s="163" t="n">
        <f aca="false">SUM(M10,M12)*'W Assumptions'!D130</f>
        <v>20340</v>
      </c>
      <c r="N32" s="163" t="n">
        <f aca="false">SUM(N10,N12)*'W Assumptions'!D130</f>
        <v>20340</v>
      </c>
      <c r="O32" s="163" t="n">
        <f aca="false">SUM(O10,O12)*'W Assumptions'!D130</f>
        <v>20340</v>
      </c>
      <c r="P32" s="163" t="n">
        <f aca="false">SUM(P10,P12)*'W Assumptions'!D130</f>
        <v>20340</v>
      </c>
      <c r="Q32" s="163" t="n">
        <f aca="false">SUM(Q10,Q12)*'W Assumptions'!D130</f>
        <v>20340</v>
      </c>
      <c r="R32" s="163" t="n">
        <f aca="false">SUM(R10,R12)*'W Assumptions'!D130</f>
        <v>20340</v>
      </c>
      <c r="S32" s="163" t="n">
        <f aca="false">SUM(S10,S12)*'W Assumptions'!D130</f>
        <v>20340</v>
      </c>
      <c r="T32" s="163" t="n">
        <f aca="false">SUM(T10,T12)*'W Assumptions'!E130</f>
        <v>20980</v>
      </c>
      <c r="U32" s="163" t="n">
        <f aca="false">SUM(U10,U12)*'W Assumptions'!E130</f>
        <v>20980</v>
      </c>
      <c r="V32" s="163" t="n">
        <f aca="false">SUM(V10,V12)*'W Assumptions'!E130</f>
        <v>20980</v>
      </c>
      <c r="W32" s="163" t="n">
        <f aca="false">SUM(W10,W12)*'W Assumptions'!E130</f>
        <v>20980</v>
      </c>
      <c r="X32" s="163" t="n">
        <f aca="false">SUM(X10,X12)*'W Assumptions'!E130</f>
        <v>20980</v>
      </c>
      <c r="Y32" s="163" t="n">
        <f aca="false">SUM(Y10,Y12)*'W Assumptions'!E130</f>
        <v>20980</v>
      </c>
      <c r="Z32" s="163" t="n">
        <f aca="false">SUM(Z10,Z12)*'W Assumptions'!E130</f>
        <v>20980</v>
      </c>
      <c r="AA32" s="163" t="n">
        <f aca="false">SUM(AA10,AA12)*'W Assumptions'!E130</f>
        <v>20980</v>
      </c>
      <c r="AB32" s="163" t="n">
        <f aca="false">SUM(AB10,AB12)*'W Assumptions'!E130</f>
        <v>20980</v>
      </c>
      <c r="AC32" s="163" t="n">
        <f aca="false">SUM(AC10,AC12)*'W Assumptions'!E130</f>
        <v>20980</v>
      </c>
      <c r="AD32" s="163" t="n">
        <f aca="false">SUM(AD10,AD12)*'W Assumptions'!E130</f>
        <v>20980</v>
      </c>
      <c r="AE32" s="163" t="n">
        <f aca="false">SUM(AE10,AE12)*'W Assumptions'!E130</f>
        <v>20980</v>
      </c>
      <c r="AF32" s="163" t="n">
        <f aca="false">SUM(AF10,AF12)*'W Assumptions'!F130</f>
        <v>21645.6</v>
      </c>
      <c r="AG32" s="163" t="n">
        <f aca="false">SUM(AG10,AG12)*'W Assumptions'!F130</f>
        <v>21645.6</v>
      </c>
      <c r="AH32" s="163" t="n">
        <f aca="false">SUM(AH10,AH12)*'W Assumptions'!F130</f>
        <v>21645.6</v>
      </c>
      <c r="AI32" s="163" t="n">
        <f aca="false">SUM(AI10,AI12)*'W Assumptions'!F130</f>
        <v>21645.6</v>
      </c>
      <c r="AJ32" s="163" t="n">
        <f aca="false">SUM(AJ10,AJ12)*'W Assumptions'!F130</f>
        <v>21645.6</v>
      </c>
      <c r="AK32" s="163" t="n">
        <f aca="false">SUM(AK10,AK12)*'W Assumptions'!F130</f>
        <v>21645.6</v>
      </c>
      <c r="AL32" s="163" t="n">
        <f aca="false">SUM(AL10,AL12)*'W Assumptions'!F130</f>
        <v>21645.6</v>
      </c>
      <c r="AM32" s="163" t="n">
        <f aca="false">SUM(AM10,AM12)*'W Assumptions'!F130</f>
        <v>21645.6</v>
      </c>
      <c r="AN32" s="163" t="n">
        <f aca="false">SUM(AN10,AN12)*'W Assumptions'!F130</f>
        <v>21645.6</v>
      </c>
      <c r="AO32" s="163" t="n">
        <f aca="false">SUM(AO10,AO12)*'W Assumptions'!F130</f>
        <v>21645.6</v>
      </c>
      <c r="AP32" s="163" t="n">
        <f aca="false">SUM(AP10,AP12)*'W Assumptions'!F130</f>
        <v>21645.6</v>
      </c>
      <c r="AQ32" s="163" t="n">
        <f aca="false">SUM(AQ10,AQ12)*'W Assumptions'!F130</f>
        <v>21645.6</v>
      </c>
    </row>
    <row r="33" customFormat="false" ht="22.5" hidden="false" customHeight="true" outlineLevel="0" collapsed="false">
      <c r="C33" s="173" t="s">
        <v>1193</v>
      </c>
      <c r="D33" s="174" t="n">
        <f aca="false">SUM(H33:S33)</f>
        <v>0</v>
      </c>
      <c r="E33" s="174" t="n">
        <f aca="false">SUM(T33:AE33)</f>
        <v>137392.5</v>
      </c>
      <c r="F33" s="174" t="n">
        <f aca="false">SUM(AF33:AQ33)</f>
        <v>824656.25</v>
      </c>
      <c r="G33" s="172"/>
      <c r="H33" s="163" t="n">
        <f aca="false">0</f>
        <v>0</v>
      </c>
      <c r="I33" s="163" t="n">
        <f aca="false">SUMIFS($H$29:H$29,$H$36:H$36,I$6)</f>
        <v>0</v>
      </c>
      <c r="J33" s="163" t="n">
        <f aca="false">SUMIFS($H$29:I$29,$H$36:I$36,J$6)</f>
        <v>0</v>
      </c>
      <c r="K33" s="163" t="n">
        <f aca="false">SUMIFS($H$29:J$29,$H$36:J$36,K$6)</f>
        <v>0</v>
      </c>
      <c r="L33" s="163" t="n">
        <f aca="false">SUMIFS($H$29:K$29,$H$36:K$36,L$6)</f>
        <v>0</v>
      </c>
      <c r="M33" s="163" t="n">
        <f aca="false">SUMIFS($H$29:L$29,$H$36:L$36,M$6)</f>
        <v>0</v>
      </c>
      <c r="N33" s="163" t="n">
        <f aca="false">SUMIFS($H$29:M$29,$H$36:M$36,N$6)</f>
        <v>0</v>
      </c>
      <c r="O33" s="163" t="n">
        <f aca="false">SUMIFS($H$29:N$29,$H$36:N$36,O$6)</f>
        <v>0</v>
      </c>
      <c r="P33" s="163" t="n">
        <f aca="false">SUMIFS($H$29:O$29,$H$36:O$36,P$6)</f>
        <v>0</v>
      </c>
      <c r="Q33" s="163" t="n">
        <f aca="false">SUMIFS($H$29:P$29,$H$36:P$36,Q$6)</f>
        <v>0</v>
      </c>
      <c r="R33" s="163" t="n">
        <f aca="false">SUMIFS($H$29:Q$29,$H$36:Q$36,R$6)</f>
        <v>0</v>
      </c>
      <c r="S33" s="163" t="n">
        <f aca="false">SUMIFS($H$29:R$29,$H$36:R$36,S$6)</f>
        <v>0</v>
      </c>
      <c r="T33" s="163" t="n">
        <f aca="false">SUMIFS($H$29:S$29,$H$36:S$36,T$6)</f>
        <v>0</v>
      </c>
      <c r="U33" s="163" t="n">
        <f aca="false">SUMIFS($H$29:T$29,$H$36:T$36,U$6)</f>
        <v>0</v>
      </c>
      <c r="V33" s="163" t="n">
        <f aca="false">SUMIFS($H$29:U$29,$H$36:U$36,V$6)</f>
        <v>137392.5</v>
      </c>
      <c r="W33" s="163" t="n">
        <f aca="false">SUMIFS($H$29:V$29,$H$36:V$36,W$6)</f>
        <v>0</v>
      </c>
      <c r="X33" s="163" t="n">
        <f aca="false">SUMIFS($H$29:W$29,$H$36:W$36,X$6)</f>
        <v>0</v>
      </c>
      <c r="Y33" s="163" t="n">
        <f aca="false">SUMIFS($H$29:X$29,$H$36:X$36,Y$6)</f>
        <v>0</v>
      </c>
      <c r="Z33" s="163" t="n">
        <f aca="false">SUMIFS($H$29:Y$29,$H$36:Y$36,Z$6)</f>
        <v>0</v>
      </c>
      <c r="AA33" s="163" t="n">
        <f aca="false">SUMIFS($H$29:Z$29,$H$36:Z$36,AA$6)</f>
        <v>0</v>
      </c>
      <c r="AB33" s="163" t="n">
        <f aca="false">SUMIFS($H$29:AA$29,$H$36:AA$36,AB$6)</f>
        <v>0</v>
      </c>
      <c r="AC33" s="163" t="n">
        <f aca="false">SUMIFS($H$29:AB$29,$H$36:AB$36,AC$6)</f>
        <v>0</v>
      </c>
      <c r="AD33" s="163" t="n">
        <f aca="false">SUMIFS($H$29:AC$29,$H$36:AC$36,AD$6)</f>
        <v>0</v>
      </c>
      <c r="AE33" s="163" t="n">
        <f aca="false">SUMIFS($H$29:AD$29,$H$36:AD$36,AE$6)</f>
        <v>0</v>
      </c>
      <c r="AF33" s="163" t="n">
        <f aca="false">SUMIFS($H$29:AE$29,$H$36:AE$36,AF$6)</f>
        <v>0</v>
      </c>
      <c r="AG33" s="163" t="n">
        <f aca="false">SUMIFS($H$29:AF$29,$H$36:AF$36,AG$6)</f>
        <v>0</v>
      </c>
      <c r="AH33" s="163" t="n">
        <f aca="false">SUMIFS($H$29:AG$29,$H$36:AG$36,AH$6)</f>
        <v>824656.25</v>
      </c>
      <c r="AI33" s="163" t="n">
        <f aca="false">SUMIFS($H$29:AH$29,$H$36:AH$36,AI$6)</f>
        <v>0</v>
      </c>
      <c r="AJ33" s="163" t="n">
        <f aca="false">SUMIFS($H$29:AI$29,$H$36:AI$36,AJ$6)</f>
        <v>0</v>
      </c>
      <c r="AK33" s="163" t="n">
        <f aca="false">SUMIFS($H$29:AJ$29,$H$36:AJ$36,AK$6)</f>
        <v>0</v>
      </c>
      <c r="AL33" s="163" t="n">
        <f aca="false">SUMIFS($H$29:AK$29,$H$36:AK$36,AL$6)</f>
        <v>0</v>
      </c>
      <c r="AM33" s="163" t="n">
        <f aca="false">SUMIFS($H$29:AL$29,$H$36:AL$36,AM$6)</f>
        <v>0</v>
      </c>
      <c r="AN33" s="163" t="n">
        <f aca="false">SUMIFS($H$29:AM$29,$H$36:AM$36,AN$6)</f>
        <v>0</v>
      </c>
      <c r="AO33" s="163" t="n">
        <f aca="false">SUMIFS($H$29:AN$29,$H$36:AN$36,AO$6)</f>
        <v>0</v>
      </c>
      <c r="AP33" s="163" t="n">
        <f aca="false">SUMIFS($H$29:AO$29,$H$36:AO$36,AP$6)</f>
        <v>0</v>
      </c>
      <c r="AQ33" s="163" t="n">
        <f aca="false">SUMIFS($H$29:AP$29,$H$36:AP$36,AQ$6)</f>
        <v>0</v>
      </c>
    </row>
    <row r="34" customFormat="false" ht="22.5" hidden="false" customHeight="true" outlineLevel="0" collapsed="false">
      <c r="C34" s="173" t="s">
        <v>1194</v>
      </c>
      <c r="D34" s="174" t="n">
        <f aca="false">S34</f>
        <v>187209.105263158</v>
      </c>
      <c r="E34" s="174" t="n">
        <f aca="false">AE34</f>
        <v>1424315.83333333</v>
      </c>
      <c r="F34" s="174" t="n">
        <f aca="false">AQ34</f>
        <v>4231634.15</v>
      </c>
      <c r="G34" s="172"/>
      <c r="H34" s="163" t="n">
        <f aca="false">SUM(H31,H25)-H33</f>
        <v>0</v>
      </c>
      <c r="I34" s="163" t="n">
        <f aca="false">SUM(I31,I25)-I33</f>
        <v>-87763.8421052632</v>
      </c>
      <c r="J34" s="163" t="n">
        <f aca="false">SUM(J31,J25)-J33</f>
        <v>-95267.0263157895</v>
      </c>
      <c r="K34" s="163" t="n">
        <f aca="false">SUM(K31,K25)-K33</f>
        <v>-90489.8157894737</v>
      </c>
      <c r="L34" s="163" t="n">
        <f aca="false">SUM(L31,L25)-L33</f>
        <v>-73432.2105263158</v>
      </c>
      <c r="M34" s="163" t="n">
        <f aca="false">SUM(M31,M25)-M33</f>
        <v>-46500.3684210527</v>
      </c>
      <c r="N34" s="163" t="n">
        <f aca="false">SUM(N31,N25)-N33</f>
        <v>-7548.78947368427</v>
      </c>
      <c r="O34" s="163" t="n">
        <f aca="false">SUM(O31,O25)-O33</f>
        <v>31402.7894736841</v>
      </c>
      <c r="P34" s="163" t="n">
        <f aca="false">SUM(P31,P25)-P33</f>
        <v>70354.3684210526</v>
      </c>
      <c r="Q34" s="163" t="n">
        <f aca="false">SUM(Q31,Q25)-Q33</f>
        <v>109305.947368421</v>
      </c>
      <c r="R34" s="163" t="n">
        <f aca="false">SUM(R31,R25)-R33</f>
        <v>148257.526315789</v>
      </c>
      <c r="S34" s="163" t="n">
        <f aca="false">SUM(S31,S25)-S33</f>
        <v>187209.105263158</v>
      </c>
      <c r="T34" s="163" t="n">
        <f aca="false">SUM(T31,T25)-T33</f>
        <v>250736.052631579</v>
      </c>
      <c r="U34" s="163" t="n">
        <f aca="false">SUM(U31,U25)-U33</f>
        <v>301775</v>
      </c>
      <c r="V34" s="163" t="n">
        <f aca="false">SUM(V31,V25)-V33</f>
        <v>290375.833333333</v>
      </c>
      <c r="W34" s="163" t="n">
        <f aca="false">SUM(W31,W25)-W33</f>
        <v>416369.166666667</v>
      </c>
      <c r="X34" s="163" t="n">
        <f aca="false">SUM(X31,X25)-X33</f>
        <v>542362.5</v>
      </c>
      <c r="Y34" s="163" t="n">
        <f aca="false">SUM(Y31,Y25)-Y33</f>
        <v>668355.833333333</v>
      </c>
      <c r="Z34" s="163" t="n">
        <f aca="false">SUM(Z31,Z25)-Z33</f>
        <v>794349.166666667</v>
      </c>
      <c r="AA34" s="163" t="n">
        <f aca="false">SUM(AA31,AA25)-AA33</f>
        <v>920342.5</v>
      </c>
      <c r="AB34" s="163" t="n">
        <f aca="false">SUM(AB31,AB25)-AB33</f>
        <v>1046335.83333333</v>
      </c>
      <c r="AC34" s="163" t="n">
        <f aca="false">SUM(AC31,AC25)-AC33</f>
        <v>1172329.16666667</v>
      </c>
      <c r="AD34" s="163" t="n">
        <f aca="false">SUM(AD31,AD25)-AD33</f>
        <v>1298322.5</v>
      </c>
      <c r="AE34" s="163" t="n">
        <f aca="false">SUM(AE31,AE25)-AE33</f>
        <v>1424315.83333333</v>
      </c>
      <c r="AF34" s="163" t="n">
        <f aca="false">SUM(AF31,AF25)-AF33</f>
        <v>1625115.36666667</v>
      </c>
      <c r="AG34" s="163" t="n">
        <f aca="false">SUM(AG31,AG25)-AG33</f>
        <v>1801593.4</v>
      </c>
      <c r="AH34" s="163" t="n">
        <f aca="false">SUM(AH31,AH25)-AH33</f>
        <v>1302406.85</v>
      </c>
      <c r="AI34" s="163" t="n">
        <f aca="false">SUM(AI31,AI25)-AI33</f>
        <v>1627876.55</v>
      </c>
      <c r="AJ34" s="163" t="n">
        <f aca="false">SUM(AJ31,AJ25)-AJ33</f>
        <v>1953346.25</v>
      </c>
      <c r="AK34" s="163" t="n">
        <f aca="false">SUM(AK31,AK25)-AK33</f>
        <v>2278815.95</v>
      </c>
      <c r="AL34" s="163" t="n">
        <f aca="false">SUM(AL31,AL25)-AL33</f>
        <v>2604285.65</v>
      </c>
      <c r="AM34" s="163" t="n">
        <f aca="false">SUM(AM31,AM25)-AM33</f>
        <v>2929755.35</v>
      </c>
      <c r="AN34" s="163" t="n">
        <f aca="false">SUM(AN31,AN25)-AN33</f>
        <v>3255225.05</v>
      </c>
      <c r="AO34" s="163" t="n">
        <f aca="false">SUM(AO31,AO25)-AO33</f>
        <v>3580694.75</v>
      </c>
      <c r="AP34" s="163" t="n">
        <f aca="false">SUM(AP31,AP25)-AP33</f>
        <v>3906164.45</v>
      </c>
      <c r="AQ34" s="163" t="n">
        <f aca="false">SUM(AQ31,AQ25)-AQ33</f>
        <v>4231634.15</v>
      </c>
    </row>
    <row r="35" customFormat="false" ht="22.5" hidden="false" customHeight="true" outlineLevel="0" collapsed="false">
      <c r="C35" s="173" t="s">
        <v>1195</v>
      </c>
      <c r="D35" s="174" t="n">
        <f aca="false">S35</f>
        <v>137392.5</v>
      </c>
      <c r="E35" s="174" t="n">
        <f aca="false">AE35</f>
        <v>824656.25</v>
      </c>
      <c r="F35" s="174" t="n">
        <f aca="false">AQ35</f>
        <v>2365146.325</v>
      </c>
      <c r="G35" s="172"/>
      <c r="H35" s="163" t="n">
        <f aca="false">H29-H33</f>
        <v>0</v>
      </c>
      <c r="I35" s="163" t="n">
        <f aca="false">H35+I29-I33</f>
        <v>0</v>
      </c>
      <c r="J35" s="163" t="n">
        <f aca="false">I35+J29-J33</f>
        <v>0</v>
      </c>
      <c r="K35" s="163" t="n">
        <f aca="false">J35+K29-K33</f>
        <v>0</v>
      </c>
      <c r="L35" s="163" t="n">
        <f aca="false">K35+L29-L33</f>
        <v>0</v>
      </c>
      <c r="M35" s="163" t="n">
        <f aca="false">L35+M29-M33</f>
        <v>0</v>
      </c>
      <c r="N35" s="163" t="n">
        <f aca="false">M35+N29-N33</f>
        <v>0</v>
      </c>
      <c r="O35" s="163" t="n">
        <f aca="false">N35+O29-O33</f>
        <v>0</v>
      </c>
      <c r="P35" s="163" t="n">
        <f aca="false">O35+P29-P33</f>
        <v>0</v>
      </c>
      <c r="Q35" s="163" t="n">
        <f aca="false">P35+Q29-Q33</f>
        <v>0</v>
      </c>
      <c r="R35" s="163" t="n">
        <f aca="false">Q35+R29-R33</f>
        <v>0</v>
      </c>
      <c r="S35" s="163" t="n">
        <f aca="false">R35+S29-S33</f>
        <v>137392.5</v>
      </c>
      <c r="T35" s="163" t="n">
        <f aca="false">S35+T29-T33</f>
        <v>137392.5</v>
      </c>
      <c r="U35" s="163" t="n">
        <f aca="false">T35+U29-U33</f>
        <v>137392.5</v>
      </c>
      <c r="V35" s="163" t="n">
        <f aca="false">U35+V29-V33</f>
        <v>0</v>
      </c>
      <c r="W35" s="163" t="n">
        <f aca="false">V35+W29-W33</f>
        <v>0</v>
      </c>
      <c r="X35" s="163" t="n">
        <f aca="false">W35+X29-X33</f>
        <v>0</v>
      </c>
      <c r="Y35" s="163" t="n">
        <f aca="false">X35+Y29-Y33</f>
        <v>0</v>
      </c>
      <c r="Z35" s="163" t="n">
        <f aca="false">Y35+Z29-Z33</f>
        <v>0</v>
      </c>
      <c r="AA35" s="163" t="n">
        <f aca="false">Z35+AA29-AA33</f>
        <v>0</v>
      </c>
      <c r="AB35" s="163" t="n">
        <f aca="false">AA35+AB29-AB33</f>
        <v>0</v>
      </c>
      <c r="AC35" s="163" t="n">
        <f aca="false">AB35+AC29-AC33</f>
        <v>0</v>
      </c>
      <c r="AD35" s="163" t="n">
        <f aca="false">AC35+AD29-AD33</f>
        <v>0</v>
      </c>
      <c r="AE35" s="163" t="n">
        <f aca="false">AD35+AE29-AE33</f>
        <v>824656.25</v>
      </c>
      <c r="AF35" s="163" t="n">
        <f aca="false">AE35+AF29-AF33</f>
        <v>824656.25</v>
      </c>
      <c r="AG35" s="163" t="n">
        <f aca="false">AF35+AG29-AG33</f>
        <v>824656.25</v>
      </c>
      <c r="AH35" s="163" t="n">
        <f aca="false">AG35+AH29-AH33</f>
        <v>0</v>
      </c>
      <c r="AI35" s="163" t="n">
        <f aca="false">AH35+AI29-AI33</f>
        <v>0</v>
      </c>
      <c r="AJ35" s="163" t="n">
        <f aca="false">AI35+AJ29-AJ33</f>
        <v>0</v>
      </c>
      <c r="AK35" s="163" t="n">
        <f aca="false">AJ35+AK29-AK33</f>
        <v>0</v>
      </c>
      <c r="AL35" s="163" t="n">
        <f aca="false">AK35+AL29-AL33</f>
        <v>0</v>
      </c>
      <c r="AM35" s="163" t="n">
        <f aca="false">AL35+AM29-AM33</f>
        <v>0</v>
      </c>
      <c r="AN35" s="163" t="n">
        <f aca="false">AM35+AN29-AN33</f>
        <v>0</v>
      </c>
      <c r="AO35" s="163" t="n">
        <f aca="false">AN35+AO29-AO33</f>
        <v>0</v>
      </c>
      <c r="AP35" s="163" t="n">
        <f aca="false">AO35+AP29-AP33</f>
        <v>0</v>
      </c>
      <c r="AQ35" s="163" t="n">
        <f aca="false">AP35+AQ29-AQ33</f>
        <v>2365146.325</v>
      </c>
    </row>
    <row r="36" customFormat="false" ht="22.5" hidden="false" customHeight="true" outlineLevel="0" collapsed="false">
      <c r="C36" s="168" t="s">
        <v>1196</v>
      </c>
      <c r="D36" s="172"/>
      <c r="E36" s="172"/>
      <c r="F36" s="172"/>
      <c r="G36" s="172"/>
      <c r="H36" s="175" t="n">
        <f aca="false">EDATE(H$6,'W Assumptions'!D131)</f>
        <v>46357</v>
      </c>
      <c r="I36" s="175" t="n">
        <f aca="false">EDATE(I$6,'W Assumptions'!D131)</f>
        <v>46388</v>
      </c>
      <c r="J36" s="175" t="n">
        <f aca="false">EDATE(J$6,'W Assumptions'!D131)</f>
        <v>46419</v>
      </c>
      <c r="K36" s="175" t="n">
        <f aca="false">EDATE(K$6,'W Assumptions'!D131)</f>
        <v>46447</v>
      </c>
      <c r="L36" s="175" t="n">
        <f aca="false">EDATE(L$6,'W Assumptions'!D131)</f>
        <v>46478</v>
      </c>
      <c r="M36" s="175" t="n">
        <f aca="false">EDATE(M$6,'W Assumptions'!D131)</f>
        <v>46508</v>
      </c>
      <c r="N36" s="175" t="n">
        <f aca="false">EDATE(N$6,'W Assumptions'!D131)</f>
        <v>46539</v>
      </c>
      <c r="O36" s="175" t="n">
        <f aca="false">EDATE(O$6,'W Assumptions'!D131)</f>
        <v>46569</v>
      </c>
      <c r="P36" s="175" t="n">
        <f aca="false">EDATE(P$6,'W Assumptions'!D131)</f>
        <v>46600</v>
      </c>
      <c r="Q36" s="175" t="n">
        <f aca="false">EDATE(Q$6,'W Assumptions'!D131)</f>
        <v>46631</v>
      </c>
      <c r="R36" s="175" t="n">
        <f aca="false">EDATE(R$6,'W Assumptions'!D131)</f>
        <v>46661</v>
      </c>
      <c r="S36" s="175" t="n">
        <f aca="false">EDATE(S$6,'W Assumptions'!D131)</f>
        <v>46692</v>
      </c>
      <c r="T36" s="175" t="n">
        <f aca="false">EDATE(T$6,'W Assumptions'!E131)</f>
        <v>46722</v>
      </c>
      <c r="U36" s="175" t="n">
        <f aca="false">EDATE(U$6,'W Assumptions'!E131)</f>
        <v>46753</v>
      </c>
      <c r="V36" s="175" t="n">
        <f aca="false">EDATE(V$6,'W Assumptions'!E131)</f>
        <v>46784</v>
      </c>
      <c r="W36" s="175" t="n">
        <f aca="false">EDATE(W$6,'W Assumptions'!E131)</f>
        <v>46813</v>
      </c>
      <c r="X36" s="175" t="n">
        <f aca="false">EDATE(X$6,'W Assumptions'!E131)</f>
        <v>46844</v>
      </c>
      <c r="Y36" s="175" t="n">
        <f aca="false">EDATE(Y$6,'W Assumptions'!E131)</f>
        <v>46874</v>
      </c>
      <c r="Z36" s="175" t="n">
        <f aca="false">EDATE(Z$6,'W Assumptions'!E131)</f>
        <v>46905</v>
      </c>
      <c r="AA36" s="175" t="n">
        <f aca="false">EDATE(AA$6,'W Assumptions'!E131)</f>
        <v>46935</v>
      </c>
      <c r="AB36" s="175" t="n">
        <f aca="false">EDATE(AB$6,'W Assumptions'!E131)</f>
        <v>46966</v>
      </c>
      <c r="AC36" s="175" t="n">
        <f aca="false">EDATE(AC$6,'W Assumptions'!E131)</f>
        <v>46997</v>
      </c>
      <c r="AD36" s="175" t="n">
        <f aca="false">EDATE(AD$6,'W Assumptions'!E131)</f>
        <v>47027</v>
      </c>
      <c r="AE36" s="175" t="n">
        <f aca="false">EDATE(AE$6,'W Assumptions'!E131)</f>
        <v>47058</v>
      </c>
      <c r="AF36" s="175" t="n">
        <f aca="false">EDATE(AF$6,'W Assumptions'!F131)</f>
        <v>47088</v>
      </c>
      <c r="AG36" s="175" t="n">
        <f aca="false">EDATE(AG$6,'W Assumptions'!F131)</f>
        <v>47119</v>
      </c>
      <c r="AH36" s="175" t="n">
        <f aca="false">EDATE(AH$6,'W Assumptions'!F131)</f>
        <v>47150</v>
      </c>
      <c r="AI36" s="175" t="n">
        <f aca="false">EDATE(AI$6,'W Assumptions'!F131)</f>
        <v>47178</v>
      </c>
      <c r="AJ36" s="175" t="n">
        <f aca="false">EDATE(AJ$6,'W Assumptions'!F131)</f>
        <v>47209</v>
      </c>
      <c r="AK36" s="175" t="n">
        <f aca="false">EDATE(AK$6,'W Assumptions'!F131)</f>
        <v>47239</v>
      </c>
      <c r="AL36" s="175" t="n">
        <f aca="false">EDATE(AL$6,'W Assumptions'!F131)</f>
        <v>47270</v>
      </c>
      <c r="AM36" s="175" t="n">
        <f aca="false">EDATE(AM$6,'W Assumptions'!F131)</f>
        <v>47300</v>
      </c>
      <c r="AN36" s="175" t="n">
        <f aca="false">EDATE(AN$6,'W Assumptions'!F131)</f>
        <v>47331</v>
      </c>
      <c r="AO36" s="175" t="n">
        <f aca="false">EDATE(AO$6,'W Assumptions'!F131)</f>
        <v>47362</v>
      </c>
      <c r="AP36" s="175" t="n">
        <f aca="false">EDATE(AP$6,'W Assumptions'!F131)</f>
        <v>47392</v>
      </c>
      <c r="AQ36" s="175" t="n">
        <f aca="false">EDATE(AQ$6,'W Assumptions'!F131)</f>
        <v>47423</v>
      </c>
    </row>
    <row r="37" customFormat="false" ht="22.5" hidden="false" customHeight="true" outlineLevel="0" collapsed="false">
      <c r="C37" s="168" t="s">
        <v>1197</v>
      </c>
      <c r="D37" s="153" t="n">
        <f aca="false">SUM(H37:S37)</f>
        <v>82435.5</v>
      </c>
      <c r="E37" s="153" t="n">
        <f aca="false">SUM(T37:AE37)</f>
        <v>494793.75</v>
      </c>
      <c r="F37" s="153" t="n">
        <f aca="false">SUM(AF37:AQ37)</f>
        <v>1419087.795</v>
      </c>
      <c r="G37" s="172"/>
      <c r="H37" s="163" t="n">
        <f aca="false">H29*'W Assumptions'!$D$52</f>
        <v>0</v>
      </c>
      <c r="I37" s="163" t="n">
        <f aca="false">I29*'W Assumptions'!$D$52</f>
        <v>0</v>
      </c>
      <c r="J37" s="163" t="n">
        <f aca="false">J29*'W Assumptions'!$D$52</f>
        <v>0</v>
      </c>
      <c r="K37" s="163" t="n">
        <f aca="false">K29*'W Assumptions'!$D$52</f>
        <v>0</v>
      </c>
      <c r="L37" s="163" t="n">
        <f aca="false">L29*'W Assumptions'!$D$52</f>
        <v>0</v>
      </c>
      <c r="M37" s="163" t="n">
        <f aca="false">M29*'W Assumptions'!$D$52</f>
        <v>0</v>
      </c>
      <c r="N37" s="163" t="n">
        <f aca="false">N29*'W Assumptions'!$D$52</f>
        <v>0</v>
      </c>
      <c r="O37" s="163" t="n">
        <f aca="false">O29*'W Assumptions'!$D$52</f>
        <v>0</v>
      </c>
      <c r="P37" s="163" t="n">
        <f aca="false">P29*'W Assumptions'!$D$52</f>
        <v>0</v>
      </c>
      <c r="Q37" s="163" t="n">
        <f aca="false">Q29*'W Assumptions'!$D$52</f>
        <v>0</v>
      </c>
      <c r="R37" s="163" t="n">
        <f aca="false">R29*'W Assumptions'!$D$52</f>
        <v>0</v>
      </c>
      <c r="S37" s="163" t="n">
        <f aca="false">S29*'W Assumptions'!$D$52</f>
        <v>82435.5</v>
      </c>
      <c r="T37" s="163" t="n">
        <f aca="false">T29*'W Assumptions'!$D$52</f>
        <v>0</v>
      </c>
      <c r="U37" s="163" t="n">
        <f aca="false">U29*'W Assumptions'!$D$52</f>
        <v>0</v>
      </c>
      <c r="V37" s="163" t="n">
        <f aca="false">V29*'W Assumptions'!$D$52</f>
        <v>0</v>
      </c>
      <c r="W37" s="163" t="n">
        <f aca="false">W29*'W Assumptions'!$D$52</f>
        <v>0</v>
      </c>
      <c r="X37" s="163" t="n">
        <f aca="false">X29*'W Assumptions'!$D$52</f>
        <v>0</v>
      </c>
      <c r="Y37" s="163" t="n">
        <f aca="false">Y29*'W Assumptions'!$D$52</f>
        <v>0</v>
      </c>
      <c r="Z37" s="163" t="n">
        <f aca="false">Z29*'W Assumptions'!$D$52</f>
        <v>0</v>
      </c>
      <c r="AA37" s="163" t="n">
        <f aca="false">AA29*'W Assumptions'!$D$52</f>
        <v>0</v>
      </c>
      <c r="AB37" s="163" t="n">
        <f aca="false">AB29*'W Assumptions'!$D$52</f>
        <v>0</v>
      </c>
      <c r="AC37" s="163" t="n">
        <f aca="false">AC29*'W Assumptions'!$D$52</f>
        <v>0</v>
      </c>
      <c r="AD37" s="163" t="n">
        <f aca="false">AD29*'W Assumptions'!$D$52</f>
        <v>0</v>
      </c>
      <c r="AE37" s="163" t="n">
        <f aca="false">AE29*'W Assumptions'!$D$52</f>
        <v>494793.75</v>
      </c>
      <c r="AF37" s="163" t="n">
        <f aca="false">AF29*'W Assumptions'!$D$52</f>
        <v>0</v>
      </c>
      <c r="AG37" s="163" t="n">
        <f aca="false">AG29*'W Assumptions'!$D$52</f>
        <v>0</v>
      </c>
      <c r="AH37" s="163" t="n">
        <f aca="false">AH29*'W Assumptions'!$D$52</f>
        <v>0</v>
      </c>
      <c r="AI37" s="163" t="n">
        <f aca="false">AI29*'W Assumptions'!$D$52</f>
        <v>0</v>
      </c>
      <c r="AJ37" s="163" t="n">
        <f aca="false">AJ29*'W Assumptions'!$D$52</f>
        <v>0</v>
      </c>
      <c r="AK37" s="163" t="n">
        <f aca="false">AK29*'W Assumptions'!$D$52</f>
        <v>0</v>
      </c>
      <c r="AL37" s="163" t="n">
        <f aca="false">AL29*'W Assumptions'!$D$52</f>
        <v>0</v>
      </c>
      <c r="AM37" s="163" t="n">
        <f aca="false">AM29*'W Assumptions'!$D$52</f>
        <v>0</v>
      </c>
      <c r="AN37" s="163" t="n">
        <f aca="false">AN29*'W Assumptions'!$D$52</f>
        <v>0</v>
      </c>
      <c r="AO37" s="163" t="n">
        <f aca="false">AO29*'W Assumptions'!$D$52</f>
        <v>0</v>
      </c>
      <c r="AP37" s="163" t="n">
        <f aca="false">AP29*'W Assumptions'!$D$52</f>
        <v>0</v>
      </c>
      <c r="AQ37" s="163" t="n">
        <f aca="false">AQ29*'W Assumptions'!$D$52</f>
        <v>1419087.795</v>
      </c>
    </row>
    <row r="38" customFormat="false" ht="22.5" hidden="false" customHeight="true" outlineLevel="0" collapsed="false">
      <c r="C38" s="168" t="s">
        <v>1198</v>
      </c>
      <c r="D38" s="153" t="n">
        <f aca="false">SUM(H38:S38)</f>
        <v>54957</v>
      </c>
      <c r="E38" s="153" t="n">
        <f aca="false">SUM(T38:AE38)</f>
        <v>329862.5</v>
      </c>
      <c r="F38" s="153" t="n">
        <f aca="false">SUM(AF38:AQ38)</f>
        <v>946058.53</v>
      </c>
      <c r="G38" s="172"/>
      <c r="H38" s="163" t="n">
        <f aca="false">H29*'W Assumptions'!$D$53</f>
        <v>0</v>
      </c>
      <c r="I38" s="163" t="n">
        <f aca="false">I29*'W Assumptions'!$D$53</f>
        <v>0</v>
      </c>
      <c r="J38" s="163" t="n">
        <f aca="false">J29*'W Assumptions'!$D$53</f>
        <v>0</v>
      </c>
      <c r="K38" s="163" t="n">
        <f aca="false">K29*'W Assumptions'!$D$53</f>
        <v>0</v>
      </c>
      <c r="L38" s="163" t="n">
        <f aca="false">L29*'W Assumptions'!$D$53</f>
        <v>0</v>
      </c>
      <c r="M38" s="163" t="n">
        <f aca="false">M29*'W Assumptions'!$D$53</f>
        <v>0</v>
      </c>
      <c r="N38" s="163" t="n">
        <f aca="false">N29*'W Assumptions'!$D$53</f>
        <v>0</v>
      </c>
      <c r="O38" s="163" t="n">
        <f aca="false">O29*'W Assumptions'!$D$53</f>
        <v>0</v>
      </c>
      <c r="P38" s="163" t="n">
        <f aca="false">P29*'W Assumptions'!$D$53</f>
        <v>0</v>
      </c>
      <c r="Q38" s="163" t="n">
        <f aca="false">Q29*'W Assumptions'!$D$53</f>
        <v>0</v>
      </c>
      <c r="R38" s="163" t="n">
        <f aca="false">R29*'W Assumptions'!$D$53</f>
        <v>0</v>
      </c>
      <c r="S38" s="163" t="n">
        <f aca="false">S29*'W Assumptions'!$D$53</f>
        <v>54957</v>
      </c>
      <c r="T38" s="163" t="n">
        <f aca="false">T29*'W Assumptions'!$D$53</f>
        <v>0</v>
      </c>
      <c r="U38" s="163" t="n">
        <f aca="false">U29*'W Assumptions'!$D$53</f>
        <v>0</v>
      </c>
      <c r="V38" s="163" t="n">
        <f aca="false">V29*'W Assumptions'!$D$53</f>
        <v>0</v>
      </c>
      <c r="W38" s="163" t="n">
        <f aca="false">W29*'W Assumptions'!$D$53</f>
        <v>0</v>
      </c>
      <c r="X38" s="163" t="n">
        <f aca="false">X29*'W Assumptions'!$D$53</f>
        <v>0</v>
      </c>
      <c r="Y38" s="163" t="n">
        <f aca="false">Y29*'W Assumptions'!$D$53</f>
        <v>0</v>
      </c>
      <c r="Z38" s="163" t="n">
        <f aca="false">Z29*'W Assumptions'!$D$53</f>
        <v>0</v>
      </c>
      <c r="AA38" s="163" t="n">
        <f aca="false">AA29*'W Assumptions'!$D$53</f>
        <v>0</v>
      </c>
      <c r="AB38" s="163" t="n">
        <f aca="false">AB29*'W Assumptions'!$D$53</f>
        <v>0</v>
      </c>
      <c r="AC38" s="163" t="n">
        <f aca="false">AC29*'W Assumptions'!$D$53</f>
        <v>0</v>
      </c>
      <c r="AD38" s="163" t="n">
        <f aca="false">AD29*'W Assumptions'!$D$53</f>
        <v>0</v>
      </c>
      <c r="AE38" s="163" t="n">
        <f aca="false">AE29*'W Assumptions'!$D$53</f>
        <v>329862.5</v>
      </c>
      <c r="AF38" s="163" t="n">
        <f aca="false">AF29*'W Assumptions'!$D$53</f>
        <v>0</v>
      </c>
      <c r="AG38" s="163" t="n">
        <f aca="false">AG29*'W Assumptions'!$D$53</f>
        <v>0</v>
      </c>
      <c r="AH38" s="163" t="n">
        <f aca="false">AH29*'W Assumptions'!$D$53</f>
        <v>0</v>
      </c>
      <c r="AI38" s="163" t="n">
        <f aca="false">AI29*'W Assumptions'!$D$53</f>
        <v>0</v>
      </c>
      <c r="AJ38" s="163" t="n">
        <f aca="false">AJ29*'W Assumptions'!$D$53</f>
        <v>0</v>
      </c>
      <c r="AK38" s="163" t="n">
        <f aca="false">AK29*'W Assumptions'!$D$53</f>
        <v>0</v>
      </c>
      <c r="AL38" s="163" t="n">
        <f aca="false">AL29*'W Assumptions'!$D$53</f>
        <v>0</v>
      </c>
      <c r="AM38" s="163" t="n">
        <f aca="false">AM29*'W Assumptions'!$D$53</f>
        <v>0</v>
      </c>
      <c r="AN38" s="163" t="n">
        <f aca="false">AN29*'W Assumptions'!$D$53</f>
        <v>0</v>
      </c>
      <c r="AO38" s="163" t="n">
        <f aca="false">AO29*'W Assumptions'!$D$53</f>
        <v>0</v>
      </c>
      <c r="AP38" s="163" t="n">
        <f aca="false">AP29*'W Assumptions'!$D$53</f>
        <v>0</v>
      </c>
      <c r="AQ38" s="163" t="n">
        <f aca="false">AQ29*'W Assumptions'!$D$53</f>
        <v>946058.53</v>
      </c>
    </row>
    <row r="39" customFormat="false" ht="22.5" hidden="false" customHeight="true" outlineLevel="0" collapsed="false">
      <c r="C39" s="168" t="s">
        <v>1199</v>
      </c>
      <c r="D39" s="153" t="n">
        <f aca="false">SUM(H39:S39)</f>
        <v>0</v>
      </c>
      <c r="E39" s="153" t="n">
        <f aca="false">SUM(T39:AE39)</f>
        <v>82435.5</v>
      </c>
      <c r="F39" s="153" t="n">
        <f aca="false">SUM(AF39:AQ39)</f>
        <v>494793.75</v>
      </c>
      <c r="G39" s="172"/>
      <c r="H39" s="163" t="n">
        <f aca="false">H33*'W Assumptions'!$D$52</f>
        <v>0</v>
      </c>
      <c r="I39" s="163" t="n">
        <f aca="false">I33*'W Assumptions'!$D$52</f>
        <v>0</v>
      </c>
      <c r="J39" s="163" t="n">
        <f aca="false">J33*'W Assumptions'!$D$52</f>
        <v>0</v>
      </c>
      <c r="K39" s="163" t="n">
        <f aca="false">K33*'W Assumptions'!$D$52</f>
        <v>0</v>
      </c>
      <c r="L39" s="163" t="n">
        <f aca="false">L33*'W Assumptions'!$D$52</f>
        <v>0</v>
      </c>
      <c r="M39" s="163" t="n">
        <f aca="false">M33*'W Assumptions'!$D$52</f>
        <v>0</v>
      </c>
      <c r="N39" s="163" t="n">
        <f aca="false">N33*'W Assumptions'!$D$52</f>
        <v>0</v>
      </c>
      <c r="O39" s="163" t="n">
        <f aca="false">O33*'W Assumptions'!$D$52</f>
        <v>0</v>
      </c>
      <c r="P39" s="163" t="n">
        <f aca="false">P33*'W Assumptions'!$D$52</f>
        <v>0</v>
      </c>
      <c r="Q39" s="163" t="n">
        <f aca="false">Q33*'W Assumptions'!$D$52</f>
        <v>0</v>
      </c>
      <c r="R39" s="163" t="n">
        <f aca="false">R33*'W Assumptions'!$D$52</f>
        <v>0</v>
      </c>
      <c r="S39" s="163" t="n">
        <f aca="false">S33*'W Assumptions'!$D$52</f>
        <v>0</v>
      </c>
      <c r="T39" s="163" t="n">
        <f aca="false">T33*'W Assumptions'!$D$52</f>
        <v>0</v>
      </c>
      <c r="U39" s="163" t="n">
        <f aca="false">U33*'W Assumptions'!$D$52</f>
        <v>0</v>
      </c>
      <c r="V39" s="163" t="n">
        <f aca="false">V33*'W Assumptions'!$D$52</f>
        <v>82435.5</v>
      </c>
      <c r="W39" s="163" t="n">
        <f aca="false">W33*'W Assumptions'!$D$52</f>
        <v>0</v>
      </c>
      <c r="X39" s="163" t="n">
        <f aca="false">X33*'W Assumptions'!$D$52</f>
        <v>0</v>
      </c>
      <c r="Y39" s="163" t="n">
        <f aca="false">Y33*'W Assumptions'!$D$52</f>
        <v>0</v>
      </c>
      <c r="Z39" s="163" t="n">
        <f aca="false">Z33*'W Assumptions'!$D$52</f>
        <v>0</v>
      </c>
      <c r="AA39" s="163" t="n">
        <f aca="false">AA33*'W Assumptions'!$D$52</f>
        <v>0</v>
      </c>
      <c r="AB39" s="163" t="n">
        <f aca="false">AB33*'W Assumptions'!$D$52</f>
        <v>0</v>
      </c>
      <c r="AC39" s="163" t="n">
        <f aca="false">AC33*'W Assumptions'!$D$52</f>
        <v>0</v>
      </c>
      <c r="AD39" s="163" t="n">
        <f aca="false">AD33*'W Assumptions'!$D$52</f>
        <v>0</v>
      </c>
      <c r="AE39" s="163" t="n">
        <f aca="false">AE33*'W Assumptions'!$D$52</f>
        <v>0</v>
      </c>
      <c r="AF39" s="163" t="n">
        <f aca="false">AF33*'W Assumptions'!$D$52</f>
        <v>0</v>
      </c>
      <c r="AG39" s="163" t="n">
        <f aca="false">AG33*'W Assumptions'!$D$52</f>
        <v>0</v>
      </c>
      <c r="AH39" s="163" t="n">
        <f aca="false">AH33*'W Assumptions'!$D$52</f>
        <v>494793.75</v>
      </c>
      <c r="AI39" s="163" t="n">
        <f aca="false">AI33*'W Assumptions'!$D$52</f>
        <v>0</v>
      </c>
      <c r="AJ39" s="163" t="n">
        <f aca="false">AJ33*'W Assumptions'!$D$52</f>
        <v>0</v>
      </c>
      <c r="AK39" s="163" t="n">
        <f aca="false">AK33*'W Assumptions'!$D$52</f>
        <v>0</v>
      </c>
      <c r="AL39" s="163" t="n">
        <f aca="false">AL33*'W Assumptions'!$D$52</f>
        <v>0</v>
      </c>
      <c r="AM39" s="163" t="n">
        <f aca="false">AM33*'W Assumptions'!$D$52</f>
        <v>0</v>
      </c>
      <c r="AN39" s="163" t="n">
        <f aca="false">AN33*'W Assumptions'!$D$52</f>
        <v>0</v>
      </c>
      <c r="AO39" s="163" t="n">
        <f aca="false">AO33*'W Assumptions'!$D$52</f>
        <v>0</v>
      </c>
      <c r="AP39" s="163" t="n">
        <f aca="false">AP33*'W Assumptions'!$D$52</f>
        <v>0</v>
      </c>
      <c r="AQ39" s="163" t="n">
        <f aca="false">AQ33*'W Assumptions'!$D$52</f>
        <v>0</v>
      </c>
    </row>
    <row r="40" customFormat="false" ht="22.5" hidden="false" customHeight="true" outlineLevel="0" collapsed="false">
      <c r="C40" s="168" t="s">
        <v>1200</v>
      </c>
      <c r="D40" s="153" t="n">
        <f aca="false">SUM(H40:S40)</f>
        <v>0</v>
      </c>
      <c r="E40" s="153" t="n">
        <f aca="false">SUM(T40:AE40)</f>
        <v>54957</v>
      </c>
      <c r="F40" s="153" t="n">
        <f aca="false">SUM(AF40:AQ40)</f>
        <v>329862.5</v>
      </c>
      <c r="G40" s="172"/>
      <c r="H40" s="163" t="n">
        <f aca="false">H33*'W Assumptions'!$D$53</f>
        <v>0</v>
      </c>
      <c r="I40" s="163" t="n">
        <f aca="false">I33*'W Assumptions'!$D$53</f>
        <v>0</v>
      </c>
      <c r="J40" s="163" t="n">
        <f aca="false">J33*'W Assumptions'!$D$53</f>
        <v>0</v>
      </c>
      <c r="K40" s="163" t="n">
        <f aca="false">K33*'W Assumptions'!$D$53</f>
        <v>0</v>
      </c>
      <c r="L40" s="163" t="n">
        <f aca="false">L33*'W Assumptions'!$D$53</f>
        <v>0</v>
      </c>
      <c r="M40" s="163" t="n">
        <f aca="false">M33*'W Assumptions'!$D$53</f>
        <v>0</v>
      </c>
      <c r="N40" s="163" t="n">
        <f aca="false">N33*'W Assumptions'!$D$53</f>
        <v>0</v>
      </c>
      <c r="O40" s="163" t="n">
        <f aca="false">O33*'W Assumptions'!$D$53</f>
        <v>0</v>
      </c>
      <c r="P40" s="163" t="n">
        <f aca="false">P33*'W Assumptions'!$D$53</f>
        <v>0</v>
      </c>
      <c r="Q40" s="163" t="n">
        <f aca="false">Q33*'W Assumptions'!$D$53</f>
        <v>0</v>
      </c>
      <c r="R40" s="163" t="n">
        <f aca="false">R33*'W Assumptions'!$D$53</f>
        <v>0</v>
      </c>
      <c r="S40" s="163" t="n">
        <f aca="false">S33*'W Assumptions'!$D$53</f>
        <v>0</v>
      </c>
      <c r="T40" s="163" t="n">
        <f aca="false">T33*'W Assumptions'!$D$53</f>
        <v>0</v>
      </c>
      <c r="U40" s="163" t="n">
        <f aca="false">U33*'W Assumptions'!$D$53</f>
        <v>0</v>
      </c>
      <c r="V40" s="163" t="n">
        <f aca="false">V33*'W Assumptions'!$D$53</f>
        <v>54957</v>
      </c>
      <c r="W40" s="163" t="n">
        <f aca="false">W33*'W Assumptions'!$D$53</f>
        <v>0</v>
      </c>
      <c r="X40" s="163" t="n">
        <f aca="false">X33*'W Assumptions'!$D$53</f>
        <v>0</v>
      </c>
      <c r="Y40" s="163" t="n">
        <f aca="false">Y33*'W Assumptions'!$D$53</f>
        <v>0</v>
      </c>
      <c r="Z40" s="163" t="n">
        <f aca="false">Z33*'W Assumptions'!$D$53</f>
        <v>0</v>
      </c>
      <c r="AA40" s="163" t="n">
        <f aca="false">AA33*'W Assumptions'!$D$53</f>
        <v>0</v>
      </c>
      <c r="AB40" s="163" t="n">
        <f aca="false">AB33*'W Assumptions'!$D$53</f>
        <v>0</v>
      </c>
      <c r="AC40" s="163" t="n">
        <f aca="false">AC33*'W Assumptions'!$D$53</f>
        <v>0</v>
      </c>
      <c r="AD40" s="163" t="n">
        <f aca="false">AD33*'W Assumptions'!$D$53</f>
        <v>0</v>
      </c>
      <c r="AE40" s="163" t="n">
        <f aca="false">AE33*'W Assumptions'!$D$53</f>
        <v>0</v>
      </c>
      <c r="AF40" s="163" t="n">
        <f aca="false">AF33*'W Assumptions'!$D$53</f>
        <v>0</v>
      </c>
      <c r="AG40" s="163" t="n">
        <f aca="false">AG33*'W Assumptions'!$D$53</f>
        <v>0</v>
      </c>
      <c r="AH40" s="163" t="n">
        <f aca="false">AH33*'W Assumptions'!$D$53</f>
        <v>329862.5</v>
      </c>
      <c r="AI40" s="163" t="n">
        <f aca="false">AI33*'W Assumptions'!$D$53</f>
        <v>0</v>
      </c>
      <c r="AJ40" s="163" t="n">
        <f aca="false">AJ33*'W Assumptions'!$D$53</f>
        <v>0</v>
      </c>
      <c r="AK40" s="163" t="n">
        <f aca="false">AK33*'W Assumptions'!$D$53</f>
        <v>0</v>
      </c>
      <c r="AL40" s="163" t="n">
        <f aca="false">AL33*'W Assumptions'!$D$53</f>
        <v>0</v>
      </c>
      <c r="AM40" s="163" t="n">
        <f aca="false">AM33*'W Assumptions'!$D$53</f>
        <v>0</v>
      </c>
      <c r="AN40" s="163" t="n">
        <f aca="false">AN33*'W Assumptions'!$D$53</f>
        <v>0</v>
      </c>
      <c r="AO40" s="163" t="n">
        <f aca="false">AO33*'W Assumptions'!$D$53</f>
        <v>0</v>
      </c>
      <c r="AP40" s="163" t="n">
        <f aca="false">AP33*'W Assumptions'!$D$53</f>
        <v>0</v>
      </c>
      <c r="AQ40" s="163" t="n">
        <f aca="false">AQ33*'W Assumptions'!$D$53</f>
        <v>0</v>
      </c>
    </row>
    <row r="41" customFormat="false" ht="22.5" hidden="false" customHeight="true" outlineLevel="0" collapsed="false">
      <c r="C41" s="168"/>
      <c r="D41" s="172"/>
      <c r="E41" s="172"/>
      <c r="F41" s="172"/>
      <c r="G41" s="172"/>
      <c r="H41" s="172"/>
      <c r="I41" s="172"/>
      <c r="J41" s="172"/>
      <c r="K41" s="172"/>
      <c r="L41" s="172"/>
      <c r="M41" s="172"/>
      <c r="N41" s="172"/>
      <c r="O41" s="172"/>
      <c r="P41" s="172"/>
      <c r="Q41" s="172"/>
      <c r="R41" s="172"/>
      <c r="S41" s="172"/>
      <c r="T41" s="172"/>
      <c r="U41" s="172"/>
      <c r="V41" s="172"/>
      <c r="W41" s="172"/>
      <c r="X41" s="172"/>
      <c r="Y41" s="172"/>
      <c r="Z41" s="172"/>
      <c r="AA41" s="172"/>
      <c r="AB41" s="172"/>
      <c r="AC41" s="172"/>
      <c r="AD41" s="172"/>
      <c r="AE41" s="172"/>
      <c r="AF41" s="172"/>
      <c r="AG41" s="172"/>
      <c r="AH41" s="172"/>
      <c r="AI41" s="172"/>
      <c r="AJ41" s="172"/>
      <c r="AK41" s="172"/>
      <c r="AL41" s="172"/>
      <c r="AM41" s="172"/>
      <c r="AN41" s="172"/>
      <c r="AO41" s="172"/>
      <c r="AP41" s="172"/>
      <c r="AQ41" s="172"/>
    </row>
    <row r="42" customFormat="false" ht="22.5" hidden="false" customHeight="true" outlineLevel="0" collapsed="false">
      <c r="C42" s="168"/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2"/>
      <c r="O42" s="172"/>
      <c r="P42" s="172"/>
      <c r="Q42" s="172"/>
      <c r="R42" s="172"/>
      <c r="S42" s="172"/>
      <c r="T42" s="172"/>
      <c r="U42" s="172"/>
      <c r="V42" s="172"/>
      <c r="W42" s="172"/>
      <c r="X42" s="172"/>
      <c r="Y42" s="172"/>
      <c r="Z42" s="172"/>
      <c r="AA42" s="172"/>
      <c r="AB42" s="172"/>
      <c r="AC42" s="172"/>
      <c r="AD42" s="172"/>
      <c r="AE42" s="172"/>
      <c r="AF42" s="172"/>
      <c r="AG42" s="172"/>
      <c r="AH42" s="172"/>
      <c r="AI42" s="172"/>
      <c r="AJ42" s="172"/>
      <c r="AK42" s="172"/>
      <c r="AL42" s="172"/>
      <c r="AM42" s="172"/>
      <c r="AN42" s="172"/>
      <c r="AO42" s="172"/>
      <c r="AP42" s="172"/>
      <c r="AQ42" s="172"/>
    </row>
    <row r="43" customFormat="false" ht="22.5" hidden="false" customHeight="true" outlineLevel="0" collapsed="false">
      <c r="C43" s="168" t="s">
        <v>1201</v>
      </c>
      <c r="D43" s="153" t="n">
        <f aca="false">S43</f>
        <v>166869.105263158</v>
      </c>
      <c r="E43" s="153" t="n">
        <f aca="false">AE43</f>
        <v>1403335.83333333</v>
      </c>
      <c r="F43" s="153" t="n">
        <f aca="false">AQ43</f>
        <v>4209988.55</v>
      </c>
      <c r="G43" s="172"/>
      <c r="H43" s="153" t="n">
        <f aca="false">MAX(0,SUM(H31,H25)-0-H32)</f>
        <v>0</v>
      </c>
      <c r="I43" s="153" t="n">
        <f aca="false">MAX(0,SUM(I31,I25)-H35-I32)</f>
        <v>0</v>
      </c>
      <c r="J43" s="153" t="n">
        <f aca="false">MAX(0,SUM(J31,J25)-I35-J32)</f>
        <v>0</v>
      </c>
      <c r="K43" s="153" t="n">
        <f aca="false">MAX(0,SUM(K31,K25)-J35-K32)</f>
        <v>0</v>
      </c>
      <c r="L43" s="153" t="n">
        <f aca="false">MAX(0,SUM(L31,L25)-K35-L32)</f>
        <v>0</v>
      </c>
      <c r="M43" s="153" t="n">
        <f aca="false">MAX(0,SUM(M31,M25)-L35-M32)</f>
        <v>0</v>
      </c>
      <c r="N43" s="153" t="n">
        <f aca="false">MAX(0,SUM(N31,N25)-M35-N32)</f>
        <v>0</v>
      </c>
      <c r="O43" s="153" t="n">
        <f aca="false">MAX(0,SUM(O31,O25)-N35-O32)</f>
        <v>11062.7894736841</v>
      </c>
      <c r="P43" s="153" t="n">
        <f aca="false">MAX(0,SUM(P31,P25)-O35-P32)</f>
        <v>50014.3684210526</v>
      </c>
      <c r="Q43" s="153" t="n">
        <f aca="false">MAX(0,SUM(Q31,Q25)-P35-Q32)</f>
        <v>88965.947368421</v>
      </c>
      <c r="R43" s="153" t="n">
        <f aca="false">MAX(0,SUM(R31,R25)-Q35-R32)</f>
        <v>127917.526315789</v>
      </c>
      <c r="S43" s="153" t="n">
        <f aca="false">MAX(0,SUM(S31,S25)-R35-S32)</f>
        <v>166869.105263158</v>
      </c>
      <c r="T43" s="153" t="n">
        <f aca="false">MAX(0,SUM(T31,T25)-S35-T32)</f>
        <v>92363.5526315789</v>
      </c>
      <c r="U43" s="153" t="n">
        <f aca="false">MAX(0,SUM(U31,U25)-T35-U32)</f>
        <v>143402.5</v>
      </c>
      <c r="V43" s="153" t="n">
        <f aca="false">MAX(0,SUM(V31,V25)-U35-V32)</f>
        <v>269395.833333333</v>
      </c>
      <c r="W43" s="153" t="n">
        <f aca="false">MAX(0,SUM(W31,W25)-V35-W32)</f>
        <v>395389.166666667</v>
      </c>
      <c r="X43" s="153" t="n">
        <f aca="false">MAX(0,SUM(X31,X25)-W35-X32)</f>
        <v>521382.5</v>
      </c>
      <c r="Y43" s="153" t="n">
        <f aca="false">MAX(0,SUM(Y31,Y25)-X35-Y32)</f>
        <v>647375.833333333</v>
      </c>
      <c r="Z43" s="153" t="n">
        <f aca="false">MAX(0,SUM(Z31,Z25)-Y35-Z32)</f>
        <v>773369.166666667</v>
      </c>
      <c r="AA43" s="153" t="n">
        <f aca="false">MAX(0,SUM(AA31,AA25)-Z35-AA32)</f>
        <v>899362.5</v>
      </c>
      <c r="AB43" s="153" t="n">
        <f aca="false">MAX(0,SUM(AB31,AB25)-AA35-AB32)</f>
        <v>1025355.83333333</v>
      </c>
      <c r="AC43" s="153" t="n">
        <f aca="false">MAX(0,SUM(AC31,AC25)-AB35-AC32)</f>
        <v>1151349.16666667</v>
      </c>
      <c r="AD43" s="153" t="n">
        <f aca="false">MAX(0,SUM(AD31,AD25)-AC35-AD32)</f>
        <v>1277342.5</v>
      </c>
      <c r="AE43" s="153" t="n">
        <f aca="false">MAX(0,SUM(AE31,AE25)-AD35-AE32)</f>
        <v>1403335.83333333</v>
      </c>
      <c r="AF43" s="153" t="n">
        <f aca="false">MAX(0,SUM(AF31,AF25)-AE35-AF32)</f>
        <v>778813.516666667</v>
      </c>
      <c r="AG43" s="153" t="n">
        <f aca="false">MAX(0,SUM(AG31,AG25)-AF35-AG32)</f>
        <v>955291.55</v>
      </c>
      <c r="AH43" s="153" t="n">
        <f aca="false">MAX(0,SUM(AH31,AH25)-AG35-AH32)</f>
        <v>1280761.25</v>
      </c>
      <c r="AI43" s="153" t="n">
        <f aca="false">MAX(0,SUM(AI31,AI25)-AH35-AI32)</f>
        <v>1606230.95</v>
      </c>
      <c r="AJ43" s="153" t="n">
        <f aca="false">MAX(0,SUM(AJ31,AJ25)-AI35-AJ32)</f>
        <v>1931700.65</v>
      </c>
      <c r="AK43" s="153" t="n">
        <f aca="false">MAX(0,SUM(AK31,AK25)-AJ35-AK32)</f>
        <v>2257170.35</v>
      </c>
      <c r="AL43" s="153" t="n">
        <f aca="false">MAX(0,SUM(AL31,AL25)-AK35-AL32)</f>
        <v>2582640.05</v>
      </c>
      <c r="AM43" s="153" t="n">
        <f aca="false">MAX(0,SUM(AM31,AM25)-AL35-AM32)</f>
        <v>2908109.75</v>
      </c>
      <c r="AN43" s="153" t="n">
        <f aca="false">MAX(0,SUM(AN31,AN25)-AM35-AN32)</f>
        <v>3233579.45</v>
      </c>
      <c r="AO43" s="153" t="n">
        <f aca="false">MAX(0,SUM(AO31,AO25)-AN35-AO32)</f>
        <v>3559049.15</v>
      </c>
      <c r="AP43" s="153" t="n">
        <f aca="false">MAX(0,SUM(AP31,AP25)-AO35-AP32)</f>
        <v>3884518.85</v>
      </c>
      <c r="AQ43" s="153" t="n">
        <f aca="false">MAX(0,SUM(AQ31,AQ25)-AP35-AQ32)</f>
        <v>4209988.55</v>
      </c>
    </row>
    <row r="44" customFormat="false" ht="22.5" hidden="false" customHeight="true" outlineLevel="0" collapsed="false">
      <c r="C44" s="168"/>
      <c r="D44" s="168"/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8"/>
      <c r="AD44" s="168"/>
      <c r="AE44" s="168"/>
      <c r="AF44" s="168"/>
      <c r="AG44" s="168"/>
      <c r="AH44" s="168"/>
      <c r="AI44" s="168"/>
      <c r="AJ44" s="168"/>
      <c r="AK44" s="168"/>
      <c r="AL44" s="168"/>
      <c r="AM44" s="168"/>
      <c r="AN44" s="168"/>
      <c r="AO44" s="168"/>
      <c r="AP44" s="168"/>
      <c r="AQ44" s="168"/>
    </row>
    <row r="45" customFormat="false" ht="22.5" hidden="false" customHeight="true" outlineLevel="0" collapsed="false"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  <c r="Z45" s="168"/>
      <c r="AA45" s="168"/>
      <c r="AB45" s="168"/>
      <c r="AC45" s="168"/>
      <c r="AD45" s="168"/>
      <c r="AE45" s="168"/>
      <c r="AF45" s="168"/>
      <c r="AG45" s="168"/>
      <c r="AH45" s="168"/>
      <c r="AI45" s="168"/>
      <c r="AJ45" s="168"/>
      <c r="AK45" s="168"/>
      <c r="AL45" s="168"/>
      <c r="AM45" s="168"/>
      <c r="AN45" s="168"/>
      <c r="AO45" s="168"/>
      <c r="AP45" s="168"/>
      <c r="AQ45" s="168"/>
    </row>
    <row r="46" customFormat="false" ht="22.5" hidden="false" customHeight="true" outlineLevel="0" collapsed="false">
      <c r="C46" s="104" t="s">
        <v>1202</v>
      </c>
      <c r="D46" s="168"/>
      <c r="E46" s="168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168"/>
      <c r="W46" s="168"/>
      <c r="X46" s="168"/>
      <c r="Y46" s="168"/>
      <c r="Z46" s="168"/>
      <c r="AA46" s="168"/>
      <c r="AB46" s="168"/>
      <c r="AC46" s="168"/>
      <c r="AD46" s="168"/>
      <c r="AE46" s="168"/>
      <c r="AF46" s="168"/>
      <c r="AG46" s="168"/>
      <c r="AH46" s="168"/>
      <c r="AI46" s="168"/>
      <c r="AJ46" s="168"/>
      <c r="AK46" s="168"/>
      <c r="AL46" s="168"/>
      <c r="AM46" s="168"/>
      <c r="AN46" s="168"/>
      <c r="AO46" s="168"/>
      <c r="AP46" s="168"/>
      <c r="AQ46" s="168"/>
    </row>
    <row r="47" customFormat="false" ht="22.5" hidden="false" customHeight="true" outlineLevel="0" collapsed="false">
      <c r="C47" s="104" t="s">
        <v>1203</v>
      </c>
      <c r="D47" s="168"/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8"/>
      <c r="X47" s="168"/>
      <c r="Y47" s="168"/>
      <c r="Z47" s="168"/>
      <c r="AA47" s="168"/>
      <c r="AB47" s="168"/>
      <c r="AC47" s="168"/>
      <c r="AD47" s="168"/>
      <c r="AE47" s="168"/>
      <c r="AF47" s="168"/>
      <c r="AG47" s="168"/>
      <c r="AH47" s="168"/>
      <c r="AI47" s="168"/>
      <c r="AJ47" s="168"/>
      <c r="AK47" s="168"/>
      <c r="AL47" s="168"/>
      <c r="AM47" s="168"/>
      <c r="AN47" s="168"/>
      <c r="AO47" s="168"/>
      <c r="AP47" s="168"/>
      <c r="AQ47" s="168"/>
    </row>
    <row r="48" customFormat="false" ht="22.5" hidden="false" customHeight="true" outlineLevel="0" collapsed="false">
      <c r="C48" s="104" t="s">
        <v>1204</v>
      </c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  <c r="V48" s="168"/>
      <c r="W48" s="168"/>
      <c r="X48" s="168"/>
      <c r="Y48" s="168"/>
      <c r="Z48" s="168"/>
      <c r="AA48" s="168"/>
      <c r="AB48" s="168"/>
      <c r="AC48" s="168"/>
      <c r="AD48" s="168"/>
      <c r="AE48" s="168"/>
      <c r="AF48" s="168"/>
      <c r="AG48" s="168"/>
      <c r="AH48" s="168"/>
      <c r="AI48" s="168"/>
      <c r="AJ48" s="168"/>
      <c r="AK48" s="168"/>
      <c r="AL48" s="168"/>
      <c r="AM48" s="168"/>
      <c r="AN48" s="168"/>
      <c r="AO48" s="168"/>
      <c r="AP48" s="168"/>
      <c r="AQ48" s="16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2026-10-06T21:11:13Z</dcterms:created>
  <dc:creator>openpyxl</dc:creator>
  <dc:description/>
  <dc:language>en-US</dc:language>
  <cp:lastModifiedBy/>
  <dcterms:modified xsi:type="dcterms:W3CDTF">2026-10-06T21:11:19Z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